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5. 15 ก.ค. 66\"/>
    </mc:Choice>
  </mc:AlternateContent>
  <xr:revisionPtr revIDLastSave="0" documentId="13_ncr:1_{F256F446-2F01-49F3-8586-2DD06A797A08}" xr6:coauthVersionLast="37" xr6:coauthVersionMax="45" xr10:uidLastSave="{00000000-0000-0000-0000-000000000000}"/>
  <bookViews>
    <workbookView xWindow="0" yWindow="0" windowWidth="12960" windowHeight="769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H820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K819" i="1"/>
  <c r="P817" i="1"/>
  <c r="O817" i="1"/>
  <c r="P816" i="1"/>
  <c r="O816" i="1"/>
  <c r="N816" i="1"/>
  <c r="P815" i="1"/>
  <c r="O815" i="1"/>
  <c r="M815" i="1"/>
  <c r="L815" i="1"/>
  <c r="P810" i="1"/>
  <c r="O810" i="1"/>
  <c r="N810" i="1"/>
  <c r="N807" i="1" s="1"/>
  <c r="N809" i="1"/>
  <c r="N808" i="1" s="1"/>
  <c r="L809" i="1"/>
  <c r="P807" i="1"/>
  <c r="O807" i="1"/>
  <c r="M807" i="1"/>
  <c r="L807" i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L796" i="1" s="1"/>
  <c r="N795" i="1"/>
  <c r="N794" i="1"/>
  <c r="N793" i="1"/>
  <c r="N792" i="1"/>
  <c r="M791" i="1"/>
  <c r="L791" i="1"/>
  <c r="N790" i="1"/>
  <c r="L790" i="1"/>
  <c r="K784" i="1"/>
  <c r="P782" i="1"/>
  <c r="O782" i="1"/>
  <c r="P781" i="1"/>
  <c r="O781" i="1"/>
  <c r="N781" i="1"/>
  <c r="N780" i="1" s="1"/>
  <c r="P780" i="1"/>
  <c r="O780" i="1"/>
  <c r="M780" i="1"/>
  <c r="L780" i="1"/>
  <c r="P775" i="1"/>
  <c r="O775" i="1"/>
  <c r="N775" i="1"/>
  <c r="N772" i="1" s="1"/>
  <c r="N774" i="1"/>
  <c r="L774" i="1"/>
  <c r="P772" i="1"/>
  <c r="O772" i="1"/>
  <c r="M772" i="1"/>
  <c r="L772" i="1"/>
  <c r="J769" i="1"/>
  <c r="K769" i="1" s="1"/>
  <c r="I769" i="1"/>
  <c r="K768" i="1"/>
  <c r="P766" i="1"/>
  <c r="O766" i="1"/>
  <c r="P765" i="1"/>
  <c r="O765" i="1"/>
  <c r="N765" i="1"/>
  <c r="N764" i="1" s="1"/>
  <c r="P764" i="1"/>
  <c r="O764" i="1"/>
  <c r="M764" i="1"/>
  <c r="L764" i="1"/>
  <c r="P759" i="1"/>
  <c r="O759" i="1"/>
  <c r="N759" i="1"/>
  <c r="N756" i="1" s="1"/>
  <c r="N758" i="1"/>
  <c r="N757" i="1" s="1"/>
  <c r="L758" i="1"/>
  <c r="P756" i="1"/>
  <c r="O756" i="1"/>
  <c r="M756" i="1"/>
  <c r="L756" i="1"/>
  <c r="J753" i="1"/>
  <c r="K753" i="1" s="1"/>
  <c r="I753" i="1"/>
  <c r="K751" i="1"/>
  <c r="P749" i="1"/>
  <c r="O749" i="1"/>
  <c r="P748" i="1"/>
  <c r="O748" i="1"/>
  <c r="N748" i="1"/>
  <c r="N747" i="1" s="1"/>
  <c r="P747" i="1"/>
  <c r="O747" i="1"/>
  <c r="M747" i="1"/>
  <c r="L747" i="1"/>
  <c r="P742" i="1"/>
  <c r="O742" i="1"/>
  <c r="N742" i="1"/>
  <c r="N739" i="1" s="1"/>
  <c r="N741" i="1"/>
  <c r="N740" i="1" s="1"/>
  <c r="L741" i="1"/>
  <c r="P739" i="1"/>
  <c r="O739" i="1"/>
  <c r="M739" i="1"/>
  <c r="L739" i="1"/>
  <c r="J736" i="1"/>
  <c r="K736" i="1" s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O695" i="1"/>
  <c r="M695" i="1"/>
  <c r="L695" i="1"/>
  <c r="N694" i="1"/>
  <c r="N693" i="1"/>
  <c r="N692" i="1"/>
  <c r="N691" i="1"/>
  <c r="M690" i="1"/>
  <c r="L690" i="1"/>
  <c r="L687" i="1" s="1"/>
  <c r="N689" i="1"/>
  <c r="L689" i="1"/>
  <c r="L686" i="1" s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M665" i="1"/>
  <c r="P665" i="1" s="1"/>
  <c r="L665" i="1"/>
  <c r="O665" i="1" s="1"/>
  <c r="N664" i="1"/>
  <c r="N663" i="1"/>
  <c r="N662" i="1"/>
  <c r="N661" i="1"/>
  <c r="M660" i="1"/>
  <c r="M657" i="1" s="1"/>
  <c r="L660" i="1"/>
  <c r="L657" i="1" s="1"/>
  <c r="N659" i="1"/>
  <c r="L659" i="1"/>
  <c r="L656" i="1" s="1"/>
  <c r="K652" i="1"/>
  <c r="J652" i="1"/>
  <c r="J651" i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L639" i="1" s="1"/>
  <c r="O639" i="1" s="1"/>
  <c r="P640" i="1"/>
  <c r="O640" i="1"/>
  <c r="N640" i="1"/>
  <c r="N639" i="1" s="1"/>
  <c r="M639" i="1"/>
  <c r="P639" i="1" s="1"/>
  <c r="N638" i="1"/>
  <c r="N637" i="1"/>
  <c r="N636" i="1"/>
  <c r="N635" i="1"/>
  <c r="M634" i="1"/>
  <c r="M631" i="1" s="1"/>
  <c r="L634" i="1"/>
  <c r="N633" i="1"/>
  <c r="L633" i="1"/>
  <c r="M633" i="1" s="1"/>
  <c r="M630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L549" i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I522" i="1" s="1"/>
  <c r="P535" i="1"/>
  <c r="L535" i="1"/>
  <c r="O535" i="1" s="1"/>
  <c r="P534" i="1"/>
  <c r="O534" i="1"/>
  <c r="N534" i="1"/>
  <c r="N533" i="1" s="1"/>
  <c r="P533" i="1"/>
  <c r="M533" i="1"/>
  <c r="N532" i="1"/>
  <c r="N531" i="1"/>
  <c r="N530" i="1"/>
  <c r="N529" i="1"/>
  <c r="M528" i="1"/>
  <c r="L528" i="1"/>
  <c r="N527" i="1"/>
  <c r="L527" i="1"/>
  <c r="J517" i="1"/>
  <c r="K517" i="1" s="1"/>
  <c r="K516" i="1"/>
  <c r="P514" i="1"/>
  <c r="O514" i="1"/>
  <c r="N513" i="1"/>
  <c r="L513" i="1"/>
  <c r="L512" i="1" s="1"/>
  <c r="P507" i="1"/>
  <c r="O507" i="1"/>
  <c r="N507" i="1"/>
  <c r="N506" i="1"/>
  <c r="N505" i="1" s="1"/>
  <c r="L506" i="1"/>
  <c r="P504" i="1"/>
  <c r="N504" i="1"/>
  <c r="M504" i="1"/>
  <c r="L504" i="1"/>
  <c r="O504" i="1" s="1"/>
  <c r="J501" i="1"/>
  <c r="K501" i="1" s="1"/>
  <c r="I501" i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N476" i="1"/>
  <c r="N475" i="1"/>
  <c r="N474" i="1"/>
  <c r="N473" i="1"/>
  <c r="M472" i="1"/>
  <c r="M469" i="1" s="1"/>
  <c r="L472" i="1"/>
  <c r="N471" i="1"/>
  <c r="L471" i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K458" i="1"/>
  <c r="P456" i="1"/>
  <c r="L456" i="1"/>
  <c r="O456" i="1" s="1"/>
  <c r="P455" i="1"/>
  <c r="O455" i="1"/>
  <c r="N455" i="1"/>
  <c r="M454" i="1"/>
  <c r="P454" i="1" s="1"/>
  <c r="N453" i="1"/>
  <c r="N452" i="1"/>
  <c r="N451" i="1"/>
  <c r="N450" i="1"/>
  <c r="M449" i="1"/>
  <c r="L449" i="1"/>
  <c r="N448" i="1"/>
  <c r="L448" i="1"/>
  <c r="M448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P430" i="1"/>
  <c r="O430" i="1"/>
  <c r="N430" i="1"/>
  <c r="N429" i="1" s="1"/>
  <c r="P429" i="1"/>
  <c r="M429" i="1"/>
  <c r="N428" i="1"/>
  <c r="N427" i="1"/>
  <c r="N426" i="1"/>
  <c r="N425" i="1"/>
  <c r="M424" i="1"/>
  <c r="L424" i="1"/>
  <c r="N423" i="1"/>
  <c r="L423" i="1"/>
  <c r="M423" i="1" s="1"/>
  <c r="J413" i="1"/>
  <c r="I413" i="1"/>
  <c r="J412" i="1"/>
  <c r="J401" i="1" s="1"/>
  <c r="I412" i="1"/>
  <c r="N410" i="1"/>
  <c r="M410" i="1"/>
  <c r="L410" i="1"/>
  <c r="N409" i="1"/>
  <c r="M409" i="1"/>
  <c r="P409" i="1" s="1"/>
  <c r="L409" i="1"/>
  <c r="N407" i="1"/>
  <c r="M407" i="1"/>
  <c r="P407" i="1" s="1"/>
  <c r="L407" i="1"/>
  <c r="N406" i="1"/>
  <c r="M406" i="1"/>
  <c r="L406" i="1"/>
  <c r="O406" i="1" s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P396" i="1" s="1"/>
  <c r="L396" i="1"/>
  <c r="N394" i="1"/>
  <c r="M394" i="1"/>
  <c r="L394" i="1"/>
  <c r="O394" i="1" s="1"/>
  <c r="N393" i="1"/>
  <c r="M393" i="1"/>
  <c r="L393" i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L347" i="1" s="1"/>
  <c r="N349" i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P335" i="1" s="1"/>
  <c r="L335" i="1"/>
  <c r="N333" i="1"/>
  <c r="M333" i="1"/>
  <c r="L333" i="1"/>
  <c r="N332" i="1"/>
  <c r="M332" i="1"/>
  <c r="L332" i="1"/>
  <c r="I327" i="1"/>
  <c r="J325" i="1"/>
  <c r="J314" i="1" s="1"/>
  <c r="I325" i="1"/>
  <c r="N323" i="1"/>
  <c r="M323" i="1"/>
  <c r="L323" i="1"/>
  <c r="N322" i="1"/>
  <c r="M322" i="1"/>
  <c r="L322" i="1"/>
  <c r="N320" i="1"/>
  <c r="M320" i="1"/>
  <c r="L320" i="1"/>
  <c r="N319" i="1"/>
  <c r="M319" i="1"/>
  <c r="L319" i="1"/>
  <c r="J312" i="1"/>
  <c r="I312" i="1"/>
  <c r="J311" i="1"/>
  <c r="I311" i="1"/>
  <c r="J310" i="1"/>
  <c r="I310" i="1"/>
  <c r="J309" i="1"/>
  <c r="J297" i="1" s="1"/>
  <c r="I309" i="1"/>
  <c r="I297" i="1" s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N300" i="1" s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N285" i="1"/>
  <c r="M285" i="1"/>
  <c r="P285" i="1" s="1"/>
  <c r="L285" i="1"/>
  <c r="O285" i="1" s="1"/>
  <c r="N284" i="1"/>
  <c r="M284" i="1"/>
  <c r="P284" i="1" s="1"/>
  <c r="L284" i="1"/>
  <c r="O284" i="1" s="1"/>
  <c r="N282" i="1"/>
  <c r="M282" i="1"/>
  <c r="L282" i="1"/>
  <c r="N281" i="1"/>
  <c r="M281" i="1"/>
  <c r="L281" i="1"/>
  <c r="J271" i="1"/>
  <c r="J260" i="1" s="1"/>
  <c r="I271" i="1"/>
  <c r="N269" i="1"/>
  <c r="M269" i="1"/>
  <c r="P269" i="1" s="1"/>
  <c r="L269" i="1"/>
  <c r="O269" i="1" s="1"/>
  <c r="N268" i="1"/>
  <c r="M268" i="1"/>
  <c r="P268" i="1" s="1"/>
  <c r="L268" i="1"/>
  <c r="O268" i="1" s="1"/>
  <c r="N266" i="1"/>
  <c r="M266" i="1"/>
  <c r="L266" i="1"/>
  <c r="N265" i="1"/>
  <c r="M265" i="1"/>
  <c r="L265" i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I237" i="1" s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P189" i="1" s="1"/>
  <c r="L189" i="1"/>
  <c r="O189" i="1" s="1"/>
  <c r="N188" i="1"/>
  <c r="M188" i="1"/>
  <c r="L188" i="1"/>
  <c r="O188" i="1" s="1"/>
  <c r="N186" i="1"/>
  <c r="M186" i="1"/>
  <c r="L186" i="1"/>
  <c r="N185" i="1"/>
  <c r="M185" i="1"/>
  <c r="L185" i="1"/>
  <c r="J179" i="1"/>
  <c r="J177" i="1" s="1"/>
  <c r="K177" i="1" s="1"/>
  <c r="I177" i="1"/>
  <c r="J176" i="1"/>
  <c r="J174" i="1" s="1"/>
  <c r="J164" i="1" s="1"/>
  <c r="I176" i="1"/>
  <c r="N173" i="1"/>
  <c r="M173" i="1"/>
  <c r="P173" i="1" s="1"/>
  <c r="L173" i="1"/>
  <c r="O173" i="1" s="1"/>
  <c r="N172" i="1"/>
  <c r="M172" i="1"/>
  <c r="P172" i="1" s="1"/>
  <c r="L172" i="1"/>
  <c r="N170" i="1"/>
  <c r="M170" i="1"/>
  <c r="L170" i="1"/>
  <c r="N169" i="1"/>
  <c r="M169" i="1"/>
  <c r="L169" i="1"/>
  <c r="J159" i="1"/>
  <c r="J148" i="1" s="1"/>
  <c r="I159" i="1"/>
  <c r="N157" i="1"/>
  <c r="M157" i="1"/>
  <c r="L157" i="1"/>
  <c r="N156" i="1"/>
  <c r="M156" i="1"/>
  <c r="P156" i="1" s="1"/>
  <c r="L156" i="1"/>
  <c r="O156" i="1" s="1"/>
  <c r="N154" i="1"/>
  <c r="M154" i="1"/>
  <c r="L154" i="1"/>
  <c r="N153" i="1"/>
  <c r="M153" i="1"/>
  <c r="L153" i="1"/>
  <c r="L150" i="1" s="1"/>
  <c r="J146" i="1"/>
  <c r="I146" i="1"/>
  <c r="I130" i="1" s="1"/>
  <c r="J145" i="1"/>
  <c r="I145" i="1"/>
  <c r="J144" i="1"/>
  <c r="I144" i="1"/>
  <c r="J143" i="1"/>
  <c r="J131" i="1" s="1"/>
  <c r="J142" i="1"/>
  <c r="N140" i="1"/>
  <c r="M140" i="1"/>
  <c r="L140" i="1"/>
  <c r="N139" i="1"/>
  <c r="M139" i="1"/>
  <c r="L139" i="1"/>
  <c r="N137" i="1"/>
  <c r="M137" i="1"/>
  <c r="L137" i="1"/>
  <c r="N136" i="1"/>
  <c r="M136" i="1"/>
  <c r="L136" i="1"/>
  <c r="N127" i="1"/>
  <c r="M127" i="1"/>
  <c r="L127" i="1"/>
  <c r="N126" i="1"/>
  <c r="M126" i="1"/>
  <c r="L126" i="1"/>
  <c r="N124" i="1"/>
  <c r="M124" i="1"/>
  <c r="L124" i="1"/>
  <c r="N123" i="1"/>
  <c r="M123" i="1"/>
  <c r="L123" i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98" i="1"/>
  <c r="N96" i="1"/>
  <c r="M96" i="1"/>
  <c r="P96" i="1" s="1"/>
  <c r="L96" i="1"/>
  <c r="O96" i="1" s="1"/>
  <c r="N95" i="1"/>
  <c r="M95" i="1"/>
  <c r="P95" i="1" s="1"/>
  <c r="L95" i="1"/>
  <c r="O95" i="1" s="1"/>
  <c r="N93" i="1"/>
  <c r="M93" i="1"/>
  <c r="L93" i="1"/>
  <c r="N92" i="1"/>
  <c r="N89" i="1" s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L73" i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M55" i="1" s="1"/>
  <c r="L58" i="1"/>
  <c r="N57" i="1"/>
  <c r="M57" i="1"/>
  <c r="L57" i="1"/>
  <c r="N49" i="1"/>
  <c r="M49" i="1"/>
  <c r="L49" i="1"/>
  <c r="N48" i="1"/>
  <c r="M48" i="1"/>
  <c r="P48" i="1" s="1"/>
  <c r="L48" i="1"/>
  <c r="O48" i="1" s="1"/>
  <c r="N46" i="1"/>
  <c r="N43" i="1" s="1"/>
  <c r="M46" i="1"/>
  <c r="L46" i="1"/>
  <c r="N45" i="1"/>
  <c r="M45" i="1"/>
  <c r="L45" i="1"/>
  <c r="P36" i="1"/>
  <c r="N36" i="1"/>
  <c r="M36" i="1"/>
  <c r="N42" i="1" l="1"/>
  <c r="N41" i="1" s="1"/>
  <c r="N54" i="1"/>
  <c r="M167" i="1"/>
  <c r="M347" i="1"/>
  <c r="L229" i="1"/>
  <c r="M187" i="1"/>
  <c r="P187" i="1" s="1"/>
  <c r="N755" i="1"/>
  <c r="N754" i="1" s="1"/>
  <c r="O796" i="1"/>
  <c r="K247" i="1"/>
  <c r="L525" i="1"/>
  <c r="K803" i="1"/>
  <c r="K80" i="1"/>
  <c r="K206" i="1"/>
  <c r="K385" i="1"/>
  <c r="K498" i="1"/>
  <c r="J722" i="1"/>
  <c r="K722" i="1" s="1"/>
  <c r="L533" i="1"/>
  <c r="O533" i="1" s="1"/>
  <c r="L217" i="1"/>
  <c r="K275" i="1"/>
  <c r="K671" i="1"/>
  <c r="K725" i="1"/>
  <c r="N304" i="1"/>
  <c r="N264" i="1"/>
  <c r="K726" i="1"/>
  <c r="O741" i="1"/>
  <c r="N125" i="1"/>
  <c r="K207" i="1"/>
  <c r="N230" i="1"/>
  <c r="J235" i="1"/>
  <c r="K291" i="1"/>
  <c r="N334" i="1"/>
  <c r="P70" i="1"/>
  <c r="K103" i="1"/>
  <c r="K257" i="1"/>
  <c r="P265" i="1"/>
  <c r="N280" i="1"/>
  <c r="K413" i="1"/>
  <c r="L468" i="1"/>
  <c r="J708" i="1"/>
  <c r="K708" i="1" s="1"/>
  <c r="J729" i="1"/>
  <c r="K729" i="1" s="1"/>
  <c r="N738" i="1"/>
  <c r="N737" i="1" s="1"/>
  <c r="K310" i="1"/>
  <c r="K340" i="1"/>
  <c r="N545" i="1"/>
  <c r="K700" i="1"/>
  <c r="J77" i="1"/>
  <c r="J65" i="1" s="1"/>
  <c r="J194" i="1"/>
  <c r="K223" i="1"/>
  <c r="L304" i="1"/>
  <c r="O304" i="1" s="1"/>
  <c r="K325" i="1"/>
  <c r="I364" i="1"/>
  <c r="K379" i="1"/>
  <c r="K495" i="1"/>
  <c r="O633" i="1"/>
  <c r="K159" i="1"/>
  <c r="O191" i="1"/>
  <c r="K288" i="1"/>
  <c r="K293" i="1"/>
  <c r="P302" i="1"/>
  <c r="J434" i="1"/>
  <c r="J418" i="1" s="1"/>
  <c r="K464" i="1"/>
  <c r="L630" i="1"/>
  <c r="M629" i="1"/>
  <c r="P140" i="1"/>
  <c r="K145" i="1"/>
  <c r="L546" i="1"/>
  <c r="L503" i="1"/>
  <c r="L502" i="1" s="1"/>
  <c r="O58" i="1"/>
  <c r="L91" i="1"/>
  <c r="M94" i="1"/>
  <c r="P94" i="1" s="1"/>
  <c r="N283" i="1"/>
  <c r="K355" i="1"/>
  <c r="L454" i="1"/>
  <c r="O454" i="1" s="1"/>
  <c r="N630" i="1"/>
  <c r="P630" i="1" s="1"/>
  <c r="K78" i="1"/>
  <c r="K109" i="1"/>
  <c r="K193" i="1"/>
  <c r="J233" i="1"/>
  <c r="N301" i="1"/>
  <c r="K311" i="1"/>
  <c r="M318" i="1"/>
  <c r="P333" i="1"/>
  <c r="N348" i="1"/>
  <c r="K435" i="1"/>
  <c r="L445" i="1"/>
  <c r="K485" i="1"/>
  <c r="M632" i="1"/>
  <c r="K644" i="1"/>
  <c r="K647" i="1"/>
  <c r="K670" i="1"/>
  <c r="O140" i="1"/>
  <c r="N168" i="1"/>
  <c r="K225" i="1"/>
  <c r="J236" i="1"/>
  <c r="P281" i="1"/>
  <c r="K290" i="1"/>
  <c r="K294" i="1"/>
  <c r="O303" i="1"/>
  <c r="K359" i="1"/>
  <c r="K362" i="1"/>
  <c r="P397" i="1"/>
  <c r="N405" i="1"/>
  <c r="O506" i="1"/>
  <c r="J603" i="1"/>
  <c r="J675" i="1"/>
  <c r="J669" i="1" s="1"/>
  <c r="L55" i="1"/>
  <c r="I226" i="1"/>
  <c r="I180" i="1" s="1"/>
  <c r="K287" i="1"/>
  <c r="K312" i="1"/>
  <c r="K338" i="1"/>
  <c r="P350" i="1"/>
  <c r="P353" i="1"/>
  <c r="K437" i="1"/>
  <c r="K440" i="1"/>
  <c r="N47" i="1"/>
  <c r="K110" i="1"/>
  <c r="M317" i="1"/>
  <c r="P633" i="1"/>
  <c r="M689" i="1"/>
  <c r="M686" i="1" s="1"/>
  <c r="L56" i="1"/>
  <c r="N278" i="1"/>
  <c r="P320" i="1"/>
  <c r="O323" i="1"/>
  <c r="L351" i="1"/>
  <c r="J569" i="1"/>
  <c r="K569" i="1" s="1"/>
  <c r="J701" i="1"/>
  <c r="K701" i="1" s="1"/>
  <c r="L47" i="1"/>
  <c r="O47" i="1" s="1"/>
  <c r="M135" i="1"/>
  <c r="K146" i="1"/>
  <c r="O154" i="1"/>
  <c r="N184" i="1"/>
  <c r="L198" i="1"/>
  <c r="I233" i="1"/>
  <c r="K244" i="1"/>
  <c r="N267" i="1"/>
  <c r="O319" i="1"/>
  <c r="N395" i="1"/>
  <c r="K539" i="1"/>
  <c r="K542" i="1"/>
  <c r="J679" i="1"/>
  <c r="J678" i="1" s="1"/>
  <c r="N68" i="1"/>
  <c r="O45" i="1"/>
  <c r="M47" i="1"/>
  <c r="P47" i="1" s="1"/>
  <c r="K111" i="1"/>
  <c r="I148" i="1"/>
  <c r="K148" i="1" s="1"/>
  <c r="L329" i="1"/>
  <c r="K372" i="1"/>
  <c r="M513" i="1"/>
  <c r="P513" i="1" s="1"/>
  <c r="N686" i="1"/>
  <c r="O686" i="1" s="1"/>
  <c r="M797" i="1"/>
  <c r="N69" i="1"/>
  <c r="N120" i="1"/>
  <c r="J130" i="1"/>
  <c r="K130" i="1" s="1"/>
  <c r="K144" i="1"/>
  <c r="N166" i="1"/>
  <c r="P170" i="1"/>
  <c r="L228" i="1"/>
  <c r="L231" i="1"/>
  <c r="N263" i="1"/>
  <c r="N279" i="1"/>
  <c r="O332" i="1"/>
  <c r="K365" i="1"/>
  <c r="K374" i="1"/>
  <c r="I388" i="1"/>
  <c r="K388" i="1" s="1"/>
  <c r="J466" i="1"/>
  <c r="K466" i="1" s="1"/>
  <c r="K540" i="1"/>
  <c r="J621" i="1"/>
  <c r="K621" i="1" s="1"/>
  <c r="N806" i="1"/>
  <c r="N805" i="1" s="1"/>
  <c r="K823" i="1"/>
  <c r="K826" i="1"/>
  <c r="L54" i="1"/>
  <c r="N167" i="1"/>
  <c r="N228" i="1"/>
  <c r="N231" i="1"/>
  <c r="N249" i="1"/>
  <c r="M267" i="1"/>
  <c r="P267" i="1" s="1"/>
  <c r="M283" i="1"/>
  <c r="P283" i="1" s="1"/>
  <c r="I314" i="1"/>
  <c r="K314" i="1" s="1"/>
  <c r="M316" i="1"/>
  <c r="L331" i="1"/>
  <c r="N32" i="1"/>
  <c r="L35" i="1"/>
  <c r="K489" i="1"/>
  <c r="K538" i="1"/>
  <c r="N787" i="1"/>
  <c r="O797" i="1"/>
  <c r="I785" i="1"/>
  <c r="N26" i="1"/>
  <c r="N16" i="1" s="1"/>
  <c r="O71" i="1"/>
  <c r="N90" i="1"/>
  <c r="N88" i="1" s="1"/>
  <c r="O127" i="1"/>
  <c r="N138" i="1"/>
  <c r="L152" i="1"/>
  <c r="N183" i="1"/>
  <c r="P188" i="1"/>
  <c r="L209" i="1"/>
  <c r="O320" i="1"/>
  <c r="N472" i="1"/>
  <c r="N469" i="1" s="1"/>
  <c r="P469" i="1" s="1"/>
  <c r="J596" i="1"/>
  <c r="P71" i="1"/>
  <c r="N121" i="1"/>
  <c r="P127" i="1"/>
  <c r="M152" i="1"/>
  <c r="I236" i="1"/>
  <c r="N262" i="1"/>
  <c r="K297" i="1"/>
  <c r="K309" i="1"/>
  <c r="L330" i="1"/>
  <c r="P336" i="1"/>
  <c r="K360" i="1"/>
  <c r="N390" i="1"/>
  <c r="P410" i="1"/>
  <c r="N468" i="1"/>
  <c r="O557" i="1"/>
  <c r="J560" i="1"/>
  <c r="K560" i="1" s="1"/>
  <c r="J568" i="1"/>
  <c r="K568" i="1" s="1"/>
  <c r="J582" i="1"/>
  <c r="J576" i="1" s="1"/>
  <c r="J559" i="1" s="1"/>
  <c r="J543" i="1" s="1"/>
  <c r="J604" i="1"/>
  <c r="L688" i="1"/>
  <c r="O758" i="1"/>
  <c r="N771" i="1"/>
  <c r="N770" i="1" s="1"/>
  <c r="N351" i="1"/>
  <c r="O352" i="1"/>
  <c r="M404" i="1"/>
  <c r="M22" i="1"/>
  <c r="M56" i="1"/>
  <c r="M168" i="1"/>
  <c r="P169" i="1"/>
  <c r="O172" i="1"/>
  <c r="L166" i="1"/>
  <c r="I235" i="1"/>
  <c r="K246" i="1"/>
  <c r="N408" i="1"/>
  <c r="L429" i="1"/>
  <c r="O429" i="1" s="1"/>
  <c r="O431" i="1"/>
  <c r="L36" i="1"/>
  <c r="O36" i="1" s="1"/>
  <c r="N445" i="1"/>
  <c r="P73" i="1"/>
  <c r="M72" i="1"/>
  <c r="P72" i="1" s="1"/>
  <c r="K115" i="1"/>
  <c r="I112" i="1"/>
  <c r="K98" i="1"/>
  <c r="M59" i="1"/>
  <c r="P60" i="1"/>
  <c r="L94" i="1"/>
  <c r="O94" i="1" s="1"/>
  <c r="M33" i="1"/>
  <c r="M30" i="1" s="1"/>
  <c r="M44" i="1"/>
  <c r="P45" i="1"/>
  <c r="M42" i="1"/>
  <c r="O73" i="1"/>
  <c r="L72" i="1"/>
  <c r="O72" i="1" s="1"/>
  <c r="K214" i="1"/>
  <c r="N229" i="1"/>
  <c r="P319" i="1"/>
  <c r="N316" i="1"/>
  <c r="N318" i="1"/>
  <c r="L321" i="1"/>
  <c r="O322" i="1"/>
  <c r="M351" i="1"/>
  <c r="P352" i="1"/>
  <c r="O407" i="1"/>
  <c r="L404" i="1"/>
  <c r="L33" i="1"/>
  <c r="L446" i="1"/>
  <c r="L444" i="1" s="1"/>
  <c r="K483" i="1"/>
  <c r="K492" i="1"/>
  <c r="M125" i="1"/>
  <c r="N134" i="1"/>
  <c r="P137" i="1"/>
  <c r="N35" i="1"/>
  <c r="N34" i="1" s="1"/>
  <c r="N454" i="1"/>
  <c r="N329" i="1"/>
  <c r="N331" i="1"/>
  <c r="K99" i="1"/>
  <c r="I87" i="1"/>
  <c r="K87" i="1" s="1"/>
  <c r="P123" i="1"/>
  <c r="M120" i="1"/>
  <c r="L133" i="1"/>
  <c r="L135" i="1"/>
  <c r="O137" i="1"/>
  <c r="O157" i="1"/>
  <c r="L151" i="1"/>
  <c r="L149" i="1" s="1"/>
  <c r="K248" i="1"/>
  <c r="K258" i="1"/>
  <c r="I276" i="1"/>
  <c r="K276" i="1" s="1"/>
  <c r="N317" i="1"/>
  <c r="K381" i="1"/>
  <c r="L408" i="1"/>
  <c r="O409" i="1"/>
  <c r="O471" i="1"/>
  <c r="L32" i="1"/>
  <c r="O513" i="1"/>
  <c r="N512" i="1"/>
  <c r="O512" i="1" s="1"/>
  <c r="K537" i="1"/>
  <c r="J522" i="1"/>
  <c r="K522" i="1" s="1"/>
  <c r="M659" i="1"/>
  <c r="P659" i="1" s="1"/>
  <c r="O659" i="1"/>
  <c r="M25" i="1"/>
  <c r="L26" i="1"/>
  <c r="O49" i="1"/>
  <c r="O60" i="1"/>
  <c r="L25" i="1"/>
  <c r="L15" i="1" s="1"/>
  <c r="M67" i="1"/>
  <c r="I77" i="1"/>
  <c r="I65" i="1" s="1"/>
  <c r="K79" i="1"/>
  <c r="I86" i="1"/>
  <c r="K86" i="1" s="1"/>
  <c r="P157" i="1"/>
  <c r="M151" i="1"/>
  <c r="L171" i="1"/>
  <c r="O171" i="1" s="1"/>
  <c r="I190" i="1"/>
  <c r="K190" i="1" s="1"/>
  <c r="K224" i="1"/>
  <c r="I216" i="1"/>
  <c r="K216" i="1" s="1"/>
  <c r="L249" i="1"/>
  <c r="O249" i="1" s="1"/>
  <c r="L230" i="1"/>
  <c r="K255" i="1"/>
  <c r="K271" i="1"/>
  <c r="I260" i="1"/>
  <c r="K260" i="1" s="1"/>
  <c r="O393" i="1"/>
  <c r="L392" i="1"/>
  <c r="O392" i="1" s="1"/>
  <c r="O397" i="1"/>
  <c r="L391" i="1"/>
  <c r="M471" i="1"/>
  <c r="N656" i="1"/>
  <c r="O656" i="1" s="1"/>
  <c r="N690" i="1"/>
  <c r="P690" i="1" s="1"/>
  <c r="K720" i="1"/>
  <c r="K824" i="1"/>
  <c r="N72" i="1"/>
  <c r="K107" i="1"/>
  <c r="L125" i="1"/>
  <c r="L348" i="1"/>
  <c r="L43" i="1"/>
  <c r="O43" i="1" s="1"/>
  <c r="N23" i="1"/>
  <c r="O61" i="1"/>
  <c r="M69" i="1"/>
  <c r="N94" i="1"/>
  <c r="K104" i="1"/>
  <c r="J112" i="1"/>
  <c r="K112" i="1" s="1"/>
  <c r="P139" i="1"/>
  <c r="N155" i="1"/>
  <c r="N198" i="1"/>
  <c r="N238" i="1"/>
  <c r="O266" i="1"/>
  <c r="O282" i="1"/>
  <c r="N299" i="1"/>
  <c r="N298" i="1" s="1"/>
  <c r="M304" i="1"/>
  <c r="P304" i="1" s="1"/>
  <c r="L318" i="1"/>
  <c r="N346" i="1"/>
  <c r="O353" i="1"/>
  <c r="N403" i="1"/>
  <c r="O423" i="1"/>
  <c r="K438" i="1"/>
  <c r="M446" i="1"/>
  <c r="N634" i="1"/>
  <c r="N631" i="1" s="1"/>
  <c r="K672" i="1"/>
  <c r="O790" i="1"/>
  <c r="K821" i="1"/>
  <c r="N59" i="1"/>
  <c r="P46" i="1"/>
  <c r="P49" i="1"/>
  <c r="P61" i="1"/>
  <c r="J76" i="1"/>
  <c r="J64" i="1" s="1"/>
  <c r="K81" i="1"/>
  <c r="K106" i="1"/>
  <c r="K118" i="1"/>
  <c r="N122" i="1"/>
  <c r="O126" i="1"/>
  <c r="O169" i="1"/>
  <c r="N187" i="1"/>
  <c r="N217" i="1"/>
  <c r="L238" i="1"/>
  <c r="O336" i="1"/>
  <c r="O349" i="1"/>
  <c r="K370" i="1"/>
  <c r="K378" i="1"/>
  <c r="N392" i="1"/>
  <c r="N391" i="1"/>
  <c r="O410" i="1"/>
  <c r="M422" i="1"/>
  <c r="N449" i="1"/>
  <c r="N446" i="1" s="1"/>
  <c r="L470" i="1"/>
  <c r="K487" i="1"/>
  <c r="K643" i="1"/>
  <c r="N660" i="1"/>
  <c r="O660" i="1" s="1"/>
  <c r="K674" i="1"/>
  <c r="K699" i="1"/>
  <c r="K723" i="1"/>
  <c r="J721" i="1"/>
  <c r="K721" i="1" s="1"/>
  <c r="O774" i="1"/>
  <c r="N44" i="1"/>
  <c r="L405" i="1"/>
  <c r="O405" i="1" s="1"/>
  <c r="N404" i="1"/>
  <c r="O478" i="1"/>
  <c r="K827" i="1"/>
  <c r="O70" i="1"/>
  <c r="K83" i="1"/>
  <c r="K113" i="1"/>
  <c r="P126" i="1"/>
  <c r="N133" i="1"/>
  <c r="M155" i="1"/>
  <c r="P155" i="1" s="1"/>
  <c r="N171" i="1"/>
  <c r="P185" i="1"/>
  <c r="L187" i="1"/>
  <c r="O187" i="1" s="1"/>
  <c r="N209" i="1"/>
  <c r="L267" i="1"/>
  <c r="O267" i="1" s="1"/>
  <c r="L283" i="1"/>
  <c r="O283" i="1" s="1"/>
  <c r="K369" i="1"/>
  <c r="L422" i="1"/>
  <c r="N503" i="1"/>
  <c r="N502" i="1" s="1"/>
  <c r="O502" i="1" s="1"/>
  <c r="K541" i="1"/>
  <c r="J620" i="1"/>
  <c r="K620" i="1" s="1"/>
  <c r="O641" i="1"/>
  <c r="K728" i="1"/>
  <c r="K822" i="1"/>
  <c r="K825" i="1"/>
  <c r="K828" i="1"/>
  <c r="P93" i="1"/>
  <c r="M90" i="1"/>
  <c r="M166" i="1"/>
  <c r="K215" i="1"/>
  <c r="I208" i="1"/>
  <c r="K208" i="1" s="1"/>
  <c r="I401" i="1"/>
  <c r="K401" i="1" s="1"/>
  <c r="K412" i="1"/>
  <c r="L23" i="1"/>
  <c r="O136" i="1"/>
  <c r="P266" i="1"/>
  <c r="M263" i="1"/>
  <c r="O302" i="1"/>
  <c r="L299" i="1"/>
  <c r="L301" i="1"/>
  <c r="P394" i="1"/>
  <c r="M391" i="1"/>
  <c r="N67" i="1"/>
  <c r="N25" i="1"/>
  <c r="N56" i="1"/>
  <c r="P58" i="1"/>
  <c r="L22" i="1"/>
  <c r="M23" i="1"/>
  <c r="L44" i="1"/>
  <c r="M54" i="1"/>
  <c r="N55" i="1"/>
  <c r="P57" i="1"/>
  <c r="L59" i="1"/>
  <c r="L69" i="1"/>
  <c r="I76" i="1"/>
  <c r="O92" i="1"/>
  <c r="L89" i="1"/>
  <c r="P124" i="1"/>
  <c r="M121" i="1"/>
  <c r="M122" i="1"/>
  <c r="P122" i="1" s="1"/>
  <c r="O139" i="1"/>
  <c r="L138" i="1"/>
  <c r="N151" i="1"/>
  <c r="P154" i="1"/>
  <c r="N182" i="1"/>
  <c r="O185" i="1"/>
  <c r="L182" i="1"/>
  <c r="L184" i="1"/>
  <c r="K237" i="1"/>
  <c r="J226" i="1"/>
  <c r="L334" i="1"/>
  <c r="O335" i="1"/>
  <c r="I543" i="1"/>
  <c r="I174" i="1"/>
  <c r="K176" i="1"/>
  <c r="O57" i="1"/>
  <c r="O46" i="1"/>
  <c r="L68" i="1"/>
  <c r="P92" i="1"/>
  <c r="M91" i="1"/>
  <c r="K116" i="1"/>
  <c r="N135" i="1"/>
  <c r="I143" i="1"/>
  <c r="O265" i="1"/>
  <c r="L262" i="1"/>
  <c r="L264" i="1"/>
  <c r="P282" i="1"/>
  <c r="M279" i="1"/>
  <c r="N424" i="1"/>
  <c r="P424" i="1" s="1"/>
  <c r="K443" i="1"/>
  <c r="O170" i="1"/>
  <c r="L167" i="1"/>
  <c r="P186" i="1"/>
  <c r="M183" i="1"/>
  <c r="J100" i="1"/>
  <c r="K100" i="1" s="1"/>
  <c r="O124" i="1"/>
  <c r="L121" i="1"/>
  <c r="N22" i="1"/>
  <c r="L42" i="1"/>
  <c r="M43" i="1"/>
  <c r="L67" i="1"/>
  <c r="M68" i="1"/>
  <c r="K84" i="1"/>
  <c r="M89" i="1"/>
  <c r="N91" i="1"/>
  <c r="K102" i="1"/>
  <c r="K114" i="1"/>
  <c r="O123" i="1"/>
  <c r="L120" i="1"/>
  <c r="L122" i="1"/>
  <c r="O122" i="1" s="1"/>
  <c r="L134" i="1"/>
  <c r="P153" i="1"/>
  <c r="M150" i="1"/>
  <c r="M171" i="1"/>
  <c r="P171" i="1" s="1"/>
  <c r="K179" i="1"/>
  <c r="M330" i="1"/>
  <c r="M26" i="1"/>
  <c r="K82" i="1"/>
  <c r="O93" i="1"/>
  <c r="L90" i="1"/>
  <c r="M134" i="1"/>
  <c r="P136" i="1"/>
  <c r="N150" i="1"/>
  <c r="O153" i="1"/>
  <c r="N152" i="1"/>
  <c r="O186" i="1"/>
  <c r="L183" i="1"/>
  <c r="I197" i="1"/>
  <c r="K197" i="1" s="1"/>
  <c r="K204" i="1"/>
  <c r="O281" i="1"/>
  <c r="L278" i="1"/>
  <c r="L280" i="1"/>
  <c r="P303" i="1"/>
  <c r="M300" i="1"/>
  <c r="P300" i="1" s="1"/>
  <c r="L395" i="1"/>
  <c r="L390" i="1"/>
  <c r="O396" i="1"/>
  <c r="P448" i="1"/>
  <c r="M445" i="1"/>
  <c r="M447" i="1"/>
  <c r="M133" i="1"/>
  <c r="L316" i="1"/>
  <c r="M334" i="1"/>
  <c r="M395" i="1"/>
  <c r="P423" i="1"/>
  <c r="I433" i="1"/>
  <c r="L655" i="1"/>
  <c r="M138" i="1"/>
  <c r="L155" i="1"/>
  <c r="O155" i="1" s="1"/>
  <c r="L168" i="1"/>
  <c r="M184" i="1"/>
  <c r="L263" i="1"/>
  <c r="M264" i="1"/>
  <c r="L279" i="1"/>
  <c r="M280" i="1"/>
  <c r="L300" i="1"/>
  <c r="O300" i="1" s="1"/>
  <c r="M301" i="1"/>
  <c r="N321" i="1"/>
  <c r="N330" i="1"/>
  <c r="O333" i="1"/>
  <c r="L346" i="1"/>
  <c r="J364" i="1"/>
  <c r="P393" i="1"/>
  <c r="M390" i="1"/>
  <c r="M392" i="1"/>
  <c r="P392" i="1" s="1"/>
  <c r="L403" i="1"/>
  <c r="M420" i="1"/>
  <c r="L421" i="1"/>
  <c r="O448" i="1"/>
  <c r="P332" i="1"/>
  <c r="M329" i="1"/>
  <c r="M331" i="1"/>
  <c r="J327" i="1"/>
  <c r="K327" i="1" s="1"/>
  <c r="N420" i="1"/>
  <c r="I434" i="1"/>
  <c r="N524" i="1"/>
  <c r="L685" i="1"/>
  <c r="M182" i="1"/>
  <c r="M262" i="1"/>
  <c r="M278" i="1"/>
  <c r="M299" i="1"/>
  <c r="P322" i="1"/>
  <c r="M321" i="1"/>
  <c r="P323" i="1"/>
  <c r="N347" i="1"/>
  <c r="O350" i="1"/>
  <c r="M408" i="1"/>
  <c r="K460" i="1"/>
  <c r="I442" i="1"/>
  <c r="K442" i="1" s="1"/>
  <c r="M546" i="1"/>
  <c r="J628" i="1"/>
  <c r="K628" i="1" s="1"/>
  <c r="K651" i="1"/>
  <c r="P349" i="1"/>
  <c r="M346" i="1"/>
  <c r="M348" i="1"/>
  <c r="P406" i="1"/>
  <c r="M403" i="1"/>
  <c r="M405" i="1"/>
  <c r="P405" i="1" s="1"/>
  <c r="K439" i="1"/>
  <c r="L469" i="1"/>
  <c r="M478" i="1"/>
  <c r="L477" i="1"/>
  <c r="O477" i="1" s="1"/>
  <c r="J583" i="1"/>
  <c r="J577" i="1" s="1"/>
  <c r="K577" i="1" s="1"/>
  <c r="K649" i="1"/>
  <c r="M687" i="1"/>
  <c r="L788" i="1"/>
  <c r="M525" i="1"/>
  <c r="N549" i="1"/>
  <c r="N546" i="1" s="1"/>
  <c r="K801" i="1"/>
  <c r="J785" i="1"/>
  <c r="K462" i="1"/>
  <c r="M506" i="1"/>
  <c r="L505" i="1"/>
  <c r="O505" i="1" s="1"/>
  <c r="O548" i="1"/>
  <c r="L545" i="1"/>
  <c r="M548" i="1"/>
  <c r="L547" i="1"/>
  <c r="J561" i="1"/>
  <c r="K561" i="1" s="1"/>
  <c r="J595" i="1"/>
  <c r="N791" i="1"/>
  <c r="N788" i="1" s="1"/>
  <c r="L317" i="1"/>
  <c r="L420" i="1"/>
  <c r="M421" i="1"/>
  <c r="L447" i="1"/>
  <c r="K463" i="1"/>
  <c r="J465" i="1"/>
  <c r="K465" i="1" s="1"/>
  <c r="N528" i="1"/>
  <c r="N526" i="1" s="1"/>
  <c r="L631" i="1"/>
  <c r="L632" i="1"/>
  <c r="N773" i="1"/>
  <c r="O527" i="1"/>
  <c r="L524" i="1"/>
  <c r="M527" i="1"/>
  <c r="L526" i="1"/>
  <c r="M809" i="1"/>
  <c r="L808" i="1"/>
  <c r="O808" i="1" s="1"/>
  <c r="O809" i="1"/>
  <c r="L806" i="1"/>
  <c r="L740" i="1"/>
  <c r="O740" i="1" s="1"/>
  <c r="M741" i="1"/>
  <c r="L757" i="1"/>
  <c r="O757" i="1" s="1"/>
  <c r="M758" i="1"/>
  <c r="L773" i="1"/>
  <c r="M774" i="1"/>
  <c r="L789" i="1"/>
  <c r="M790" i="1"/>
  <c r="K673" i="1"/>
  <c r="I654" i="1"/>
  <c r="L658" i="1"/>
  <c r="L738" i="1"/>
  <c r="L755" i="1"/>
  <c r="L771" i="1"/>
  <c r="L787" i="1"/>
  <c r="M788" i="1"/>
  <c r="N815" i="1"/>
  <c r="P42" i="1" l="1"/>
  <c r="O54" i="1"/>
  <c r="P167" i="1"/>
  <c r="O68" i="1"/>
  <c r="P184" i="1"/>
  <c r="K235" i="1"/>
  <c r="O472" i="1"/>
  <c r="K785" i="1"/>
  <c r="K543" i="1"/>
  <c r="O329" i="1"/>
  <c r="O166" i="1"/>
  <c r="K675" i="1"/>
  <c r="O152" i="1"/>
  <c r="N227" i="1"/>
  <c r="O26" i="1"/>
  <c r="P168" i="1"/>
  <c r="O263" i="1"/>
  <c r="O395" i="1"/>
  <c r="O91" i="1"/>
  <c r="O217" i="1"/>
  <c r="P183" i="1"/>
  <c r="K226" i="1"/>
  <c r="O468" i="1"/>
  <c r="P408" i="1"/>
  <c r="O264" i="1"/>
  <c r="O125" i="1"/>
  <c r="L16" i="1"/>
  <c r="O16" i="1" s="1"/>
  <c r="M315" i="1"/>
  <c r="O198" i="1"/>
  <c r="O301" i="1"/>
  <c r="O138" i="1"/>
  <c r="P69" i="1"/>
  <c r="P301" i="1"/>
  <c r="N544" i="1"/>
  <c r="P125" i="1"/>
  <c r="N277" i="1"/>
  <c r="N328" i="1"/>
  <c r="P138" i="1"/>
  <c r="N389" i="1"/>
  <c r="K65" i="1"/>
  <c r="P686" i="1"/>
  <c r="N261" i="1"/>
  <c r="M19" i="1"/>
  <c r="P348" i="1"/>
  <c r="P331" i="1"/>
  <c r="O279" i="1"/>
  <c r="P395" i="1"/>
  <c r="O280" i="1"/>
  <c r="L53" i="1"/>
  <c r="O56" i="1"/>
  <c r="N657" i="1"/>
  <c r="O657" i="1" s="1"/>
  <c r="N632" i="1"/>
  <c r="P632" i="1" s="1"/>
  <c r="P280" i="1"/>
  <c r="P264" i="1"/>
  <c r="P334" i="1"/>
  <c r="O184" i="1"/>
  <c r="M685" i="1"/>
  <c r="O334" i="1"/>
  <c r="O59" i="1"/>
  <c r="M21" i="1"/>
  <c r="O348" i="1"/>
  <c r="K236" i="1"/>
  <c r="O445" i="1"/>
  <c r="O630" i="1"/>
  <c r="K576" i="1"/>
  <c r="N786" i="1"/>
  <c r="O321" i="1"/>
  <c r="O69" i="1"/>
  <c r="O331" i="1"/>
  <c r="N165" i="1"/>
  <c r="P634" i="1"/>
  <c r="K364" i="1"/>
  <c r="P22" i="1"/>
  <c r="O408" i="1"/>
  <c r="P120" i="1"/>
  <c r="M512" i="1"/>
  <c r="P512" i="1" s="1"/>
  <c r="N547" i="1"/>
  <c r="O547" i="1" s="1"/>
  <c r="J594" i="1"/>
  <c r="K594" i="1" s="1"/>
  <c r="O690" i="1"/>
  <c r="M688" i="1"/>
  <c r="J593" i="1"/>
  <c r="K593" i="1" s="1"/>
  <c r="P660" i="1"/>
  <c r="N345" i="1"/>
  <c r="O183" i="1"/>
  <c r="P134" i="1"/>
  <c r="O121" i="1"/>
  <c r="P151" i="1"/>
  <c r="O55" i="1"/>
  <c r="N66" i="1"/>
  <c r="K77" i="1"/>
  <c r="N132" i="1"/>
  <c r="O238" i="1"/>
  <c r="O351" i="1"/>
  <c r="L24" i="1"/>
  <c r="J654" i="1"/>
  <c r="K654" i="1" s="1"/>
  <c r="K669" i="1"/>
  <c r="P546" i="1"/>
  <c r="O44" i="1"/>
  <c r="O424" i="1"/>
  <c r="O168" i="1"/>
  <c r="O151" i="1"/>
  <c r="O134" i="1"/>
  <c r="P279" i="1"/>
  <c r="O135" i="1"/>
  <c r="N181" i="1"/>
  <c r="P317" i="1"/>
  <c r="P318" i="1"/>
  <c r="L328" i="1"/>
  <c r="P316" i="1"/>
  <c r="K233" i="1"/>
  <c r="N149" i="1"/>
  <c r="O149" i="1" s="1"/>
  <c r="N20" i="1"/>
  <c r="L29" i="1"/>
  <c r="P472" i="1"/>
  <c r="N467" i="1"/>
  <c r="N119" i="1"/>
  <c r="N470" i="1"/>
  <c r="O470" i="1" s="1"/>
  <c r="M796" i="1"/>
  <c r="P796" i="1" s="1"/>
  <c r="P797" i="1"/>
  <c r="K559" i="1"/>
  <c r="P263" i="1"/>
  <c r="O133" i="1"/>
  <c r="O503" i="1"/>
  <c r="O90" i="1"/>
  <c r="P91" i="1"/>
  <c r="N658" i="1"/>
  <c r="O658" i="1" s="1"/>
  <c r="L30" i="1"/>
  <c r="N29" i="1"/>
  <c r="O773" i="1"/>
  <c r="O317" i="1"/>
  <c r="O391" i="1"/>
  <c r="P56" i="1"/>
  <c r="P90" i="1"/>
  <c r="O209" i="1"/>
  <c r="O35" i="1"/>
  <c r="P631" i="1"/>
  <c r="N629" i="1"/>
  <c r="P629" i="1" s="1"/>
  <c r="O404" i="1"/>
  <c r="P391" i="1"/>
  <c r="P446" i="1"/>
  <c r="O318" i="1"/>
  <c r="M658" i="1"/>
  <c r="M656" i="1"/>
  <c r="N315" i="1"/>
  <c r="P59" i="1"/>
  <c r="N444" i="1"/>
  <c r="O444" i="1" s="1"/>
  <c r="O32" i="1"/>
  <c r="L31" i="1"/>
  <c r="O634" i="1"/>
  <c r="P321" i="1"/>
  <c r="P135" i="1"/>
  <c r="N53" i="1"/>
  <c r="M470" i="1"/>
  <c r="P471" i="1"/>
  <c r="N447" i="1"/>
  <c r="O447" i="1" s="1"/>
  <c r="L227" i="1"/>
  <c r="O446" i="1"/>
  <c r="P44" i="1"/>
  <c r="P351" i="1"/>
  <c r="O150" i="1"/>
  <c r="N402" i="1"/>
  <c r="P449" i="1"/>
  <c r="L34" i="1"/>
  <c r="O34" i="1" s="1"/>
  <c r="O449" i="1"/>
  <c r="P404" i="1"/>
  <c r="N688" i="1"/>
  <c r="O688" i="1" s="1"/>
  <c r="N687" i="1"/>
  <c r="M345" i="1"/>
  <c r="P346" i="1"/>
  <c r="M389" i="1"/>
  <c r="P390" i="1"/>
  <c r="M16" i="1"/>
  <c r="P16" i="1" s="1"/>
  <c r="P26" i="1"/>
  <c r="P788" i="1"/>
  <c r="P758" i="1"/>
  <c r="M755" i="1"/>
  <c r="M757" i="1"/>
  <c r="P757" i="1" s="1"/>
  <c r="P791" i="1"/>
  <c r="O549" i="1"/>
  <c r="K434" i="1"/>
  <c r="I418" i="1"/>
  <c r="K418" i="1" s="1"/>
  <c r="M328" i="1"/>
  <c r="P329" i="1"/>
  <c r="P330" i="1"/>
  <c r="L41" i="1"/>
  <c r="O42" i="1"/>
  <c r="N421" i="1"/>
  <c r="O421" i="1" s="1"/>
  <c r="N33" i="1"/>
  <c r="P347" i="1"/>
  <c r="J180" i="1"/>
  <c r="K180" i="1" s="1"/>
  <c r="M119" i="1"/>
  <c r="P121" i="1"/>
  <c r="P55" i="1"/>
  <c r="M41" i="1"/>
  <c r="P43" i="1"/>
  <c r="I131" i="1"/>
  <c r="K131" i="1" s="1"/>
  <c r="K143" i="1"/>
  <c r="M24" i="1"/>
  <c r="O787" i="1"/>
  <c r="L786" i="1"/>
  <c r="O526" i="1"/>
  <c r="M503" i="1"/>
  <c r="M505" i="1"/>
  <c r="P505" i="1" s="1"/>
  <c r="P506" i="1"/>
  <c r="M32" i="1"/>
  <c r="O347" i="1"/>
  <c r="O316" i="1"/>
  <c r="L315" i="1"/>
  <c r="L277" i="1"/>
  <c r="O278" i="1"/>
  <c r="P89" i="1"/>
  <c r="M88" i="1"/>
  <c r="P88" i="1" s="1"/>
  <c r="N21" i="1"/>
  <c r="N12" i="1"/>
  <c r="N19" i="1"/>
  <c r="L261" i="1"/>
  <c r="O262" i="1"/>
  <c r="L132" i="1"/>
  <c r="P152" i="1"/>
  <c r="P67" i="1"/>
  <c r="L805" i="1"/>
  <c r="O805" i="1" s="1"/>
  <c r="O806" i="1"/>
  <c r="P182" i="1"/>
  <c r="M181" i="1"/>
  <c r="O771" i="1"/>
  <c r="L770" i="1"/>
  <c r="O770" i="1" s="1"/>
  <c r="P741" i="1"/>
  <c r="M738" i="1"/>
  <c r="M740" i="1"/>
  <c r="P740" i="1" s="1"/>
  <c r="N525" i="1"/>
  <c r="O525" i="1" s="1"/>
  <c r="O528" i="1"/>
  <c r="P528" i="1"/>
  <c r="P420" i="1"/>
  <c r="M419" i="1"/>
  <c r="L389" i="1"/>
  <c r="O390" i="1"/>
  <c r="L119" i="1"/>
  <c r="O120" i="1"/>
  <c r="K174" i="1"/>
  <c r="I164" i="1"/>
  <c r="K164" i="1" s="1"/>
  <c r="L181" i="1"/>
  <c r="O182" i="1"/>
  <c r="L88" i="1"/>
  <c r="O88" i="1" s="1"/>
  <c r="O89" i="1"/>
  <c r="N15" i="1"/>
  <c r="N14" i="1" s="1"/>
  <c r="N24" i="1"/>
  <c r="P166" i="1"/>
  <c r="M165" i="1"/>
  <c r="O755" i="1"/>
  <c r="L754" i="1"/>
  <c r="O754" i="1" s="1"/>
  <c r="L523" i="1"/>
  <c r="O524" i="1"/>
  <c r="O420" i="1"/>
  <c r="L419" i="1"/>
  <c r="P548" i="1"/>
  <c r="M545" i="1"/>
  <c r="M547" i="1"/>
  <c r="P478" i="1"/>
  <c r="M477" i="1"/>
  <c r="P477" i="1" s="1"/>
  <c r="M35" i="1"/>
  <c r="M468" i="1"/>
  <c r="P549" i="1"/>
  <c r="M277" i="1"/>
  <c r="P278" i="1"/>
  <c r="O546" i="1"/>
  <c r="N789" i="1"/>
  <c r="O789" i="1" s="1"/>
  <c r="L402" i="1"/>
  <c r="O403" i="1"/>
  <c r="L345" i="1"/>
  <c r="O346" i="1"/>
  <c r="K433" i="1"/>
  <c r="I417" i="1"/>
  <c r="K417" i="1" s="1"/>
  <c r="M149" i="1"/>
  <c r="P150" i="1"/>
  <c r="P68" i="1"/>
  <c r="M66" i="1"/>
  <c r="O167" i="1"/>
  <c r="L165" i="1"/>
  <c r="P25" i="1"/>
  <c r="P54" i="1"/>
  <c r="M53" i="1"/>
  <c r="P23" i="1"/>
  <c r="M20" i="1"/>
  <c r="M13" i="1"/>
  <c r="N422" i="1"/>
  <c r="L298" i="1"/>
  <c r="O298" i="1" s="1"/>
  <c r="O299" i="1"/>
  <c r="O23" i="1"/>
  <c r="L20" i="1"/>
  <c r="L13" i="1"/>
  <c r="O25" i="1"/>
  <c r="O791" i="1"/>
  <c r="P790" i="1"/>
  <c r="M787" i="1"/>
  <c r="M789" i="1"/>
  <c r="P809" i="1"/>
  <c r="M806" i="1"/>
  <c r="M808" i="1"/>
  <c r="P808" i="1" s="1"/>
  <c r="P527" i="1"/>
  <c r="M524" i="1"/>
  <c r="M526" i="1"/>
  <c r="P526" i="1" s="1"/>
  <c r="O631" i="1"/>
  <c r="L629" i="1"/>
  <c r="M402" i="1"/>
  <c r="P403" i="1"/>
  <c r="M298" i="1"/>
  <c r="P298" i="1" s="1"/>
  <c r="P299" i="1"/>
  <c r="O330" i="1"/>
  <c r="P133" i="1"/>
  <c r="M132" i="1"/>
  <c r="O738" i="1"/>
  <c r="L737" i="1"/>
  <c r="O737" i="1" s="1"/>
  <c r="P774" i="1"/>
  <c r="M771" i="1"/>
  <c r="M773" i="1"/>
  <c r="P773" i="1" s="1"/>
  <c r="L544" i="1"/>
  <c r="O545" i="1"/>
  <c r="O788" i="1"/>
  <c r="O469" i="1"/>
  <c r="L467" i="1"/>
  <c r="M261" i="1"/>
  <c r="P262" i="1"/>
  <c r="P445" i="1"/>
  <c r="M444" i="1"/>
  <c r="L66" i="1"/>
  <c r="O67" i="1"/>
  <c r="K76" i="1"/>
  <c r="I64" i="1"/>
  <c r="K64" i="1" s="1"/>
  <c r="O22" i="1"/>
  <c r="L19" i="1"/>
  <c r="L12" i="1"/>
  <c r="L21" i="1"/>
  <c r="P402" i="1" l="1"/>
  <c r="L14" i="1"/>
  <c r="P261" i="1"/>
  <c r="O261" i="1"/>
  <c r="P277" i="1"/>
  <c r="O277" i="1"/>
  <c r="P547" i="1"/>
  <c r="O227" i="1"/>
  <c r="O345" i="1"/>
  <c r="P657" i="1"/>
  <c r="O29" i="1"/>
  <c r="O544" i="1"/>
  <c r="P53" i="1"/>
  <c r="J592" i="1"/>
  <c r="K592" i="1" s="1"/>
  <c r="P315" i="1"/>
  <c r="P181" i="1"/>
  <c r="N655" i="1"/>
  <c r="O655" i="1" s="1"/>
  <c r="O389" i="1"/>
  <c r="P389" i="1"/>
  <c r="P328" i="1"/>
  <c r="O328" i="1"/>
  <c r="N37" i="1"/>
  <c r="P21" i="1"/>
  <c r="P345" i="1"/>
  <c r="O165" i="1"/>
  <c r="P165" i="1"/>
  <c r="O632" i="1"/>
  <c r="O53" i="1"/>
  <c r="P66" i="1"/>
  <c r="O24" i="1"/>
  <c r="O786" i="1"/>
  <c r="O66" i="1"/>
  <c r="O20" i="1"/>
  <c r="P20" i="1"/>
  <c r="O181" i="1"/>
  <c r="O467" i="1"/>
  <c r="P132" i="1"/>
  <c r="O629" i="1"/>
  <c r="O132" i="1"/>
  <c r="P119" i="1"/>
  <c r="O21" i="1"/>
  <c r="P525" i="1"/>
  <c r="P149" i="1"/>
  <c r="O402" i="1"/>
  <c r="N18" i="1"/>
  <c r="L28" i="1"/>
  <c r="P444" i="1"/>
  <c r="O119" i="1"/>
  <c r="P470" i="1"/>
  <c r="O15" i="1"/>
  <c r="P658" i="1"/>
  <c r="O315" i="1"/>
  <c r="P19" i="1"/>
  <c r="N419" i="1"/>
  <c r="O419" i="1" s="1"/>
  <c r="O687" i="1"/>
  <c r="N685" i="1"/>
  <c r="P656" i="1"/>
  <c r="M655" i="1"/>
  <c r="P447" i="1"/>
  <c r="P421" i="1"/>
  <c r="P688" i="1"/>
  <c r="O14" i="1"/>
  <c r="P687" i="1"/>
  <c r="P524" i="1"/>
  <c r="M523" i="1"/>
  <c r="L18" i="1"/>
  <c r="O19" i="1"/>
  <c r="N30" i="1"/>
  <c r="O33" i="1"/>
  <c r="N13" i="1"/>
  <c r="N10" i="1" s="1"/>
  <c r="P33" i="1"/>
  <c r="N31" i="1"/>
  <c r="O31" i="1" s="1"/>
  <c r="P545" i="1"/>
  <c r="M544" i="1"/>
  <c r="P544" i="1" s="1"/>
  <c r="P32" i="1"/>
  <c r="M29" i="1"/>
  <c r="M31" i="1"/>
  <c r="M12" i="1"/>
  <c r="P24" i="1"/>
  <c r="N523" i="1"/>
  <c r="O523" i="1" s="1"/>
  <c r="M10" i="1"/>
  <c r="M34" i="1"/>
  <c r="P34" i="1" s="1"/>
  <c r="P35" i="1"/>
  <c r="M15" i="1"/>
  <c r="L414" i="1"/>
  <c r="N9" i="1"/>
  <c r="L37" i="1"/>
  <c r="O41" i="1"/>
  <c r="L11" i="1"/>
  <c r="O12" i="1"/>
  <c r="L9" i="1"/>
  <c r="P787" i="1"/>
  <c r="M786" i="1"/>
  <c r="P786" i="1" s="1"/>
  <c r="M37" i="1"/>
  <c r="P37" i="1" s="1"/>
  <c r="P41" i="1"/>
  <c r="P771" i="1"/>
  <c r="M770" i="1"/>
  <c r="P770" i="1" s="1"/>
  <c r="P806" i="1"/>
  <c r="M805" i="1"/>
  <c r="P805" i="1" s="1"/>
  <c r="O422" i="1"/>
  <c r="P422" i="1"/>
  <c r="P468" i="1"/>
  <c r="M467" i="1"/>
  <c r="P467" i="1" s="1"/>
  <c r="L10" i="1"/>
  <c r="P789" i="1"/>
  <c r="P738" i="1"/>
  <c r="M737" i="1"/>
  <c r="P737" i="1" s="1"/>
  <c r="P503" i="1"/>
  <c r="M502" i="1"/>
  <c r="P502" i="1" s="1"/>
  <c r="M18" i="1"/>
  <c r="P755" i="1"/>
  <c r="M754" i="1"/>
  <c r="P754" i="1" s="1"/>
  <c r="O37" i="1" l="1"/>
  <c r="P655" i="1"/>
  <c r="P18" i="1"/>
  <c r="O13" i="1"/>
  <c r="O18" i="1"/>
  <c r="N8" i="1"/>
  <c r="P10" i="1"/>
  <c r="O10" i="1"/>
  <c r="P523" i="1"/>
  <c r="P31" i="1"/>
  <c r="N414" i="1"/>
  <c r="O414" i="1" s="1"/>
  <c r="P419" i="1"/>
  <c r="P685" i="1"/>
  <c r="O685" i="1"/>
  <c r="P13" i="1"/>
  <c r="M28" i="1"/>
  <c r="P29" i="1"/>
  <c r="N11" i="1"/>
  <c r="O11" i="1" s="1"/>
  <c r="N28" i="1"/>
  <c r="O28" i="1" s="1"/>
  <c r="O30" i="1"/>
  <c r="P30" i="1"/>
  <c r="O9" i="1"/>
  <c r="L8" i="1"/>
  <c r="M14" i="1"/>
  <c r="P14" i="1" s="1"/>
  <c r="P15" i="1"/>
  <c r="M414" i="1"/>
  <c r="P12" i="1"/>
  <c r="M9" i="1"/>
  <c r="M11" i="1"/>
  <c r="O8" i="1" l="1"/>
  <c r="P414" i="1"/>
  <c r="P11" i="1"/>
  <c r="M8" i="1"/>
  <c r="P8" i="1" s="1"/>
  <c r="P9" i="1"/>
  <c r="P28" i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<sst xmlns="http://schemas.openxmlformats.org/spreadsheetml/2006/main" count="1563" uniqueCount="340">
  <si>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</si>
  <si>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</si>
  <si>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</si>
  <si>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</si>
  <si>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</si>
  <si>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</si>
  <si>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</si>
  <si>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</si>
  <si>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</si>
  <si>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</si>
  <si>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</si>
  <si>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</si>
  <si>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</si>
  <si>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</si>
  <si>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</si>
  <si>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</si>
  <si>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</si>
  <si>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</si>
  <si>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</si>
  <si>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</si>
  <si>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</si>
  <si>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</si>
  <si>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</si>
  <si>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</si>
  <si>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</si>
  <si>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</si>
  <si>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</si>
  <si>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</si>
  <si>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</si>
  <si>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</si>
  <si>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</si>
  <si>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</si>
  <si>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</si>
  <si>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</si>
  <si>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</si>
  <si>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</si>
  <si>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</si>
  <si>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</si>
  <si>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</si>
  <si>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</si>
  <si>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</si>
  <si>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</si>
  <si>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</si>
  <si>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</si>
  <si>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</si>
  <si>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</si>
  <si>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</si>
  <si>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</si>
  <si>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</si>
  <si>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</si>
  <si>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</si>
  <si>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</si>
  <si>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</si>
  <si>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</si>
  <si>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</si>
  <si>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  <family val="2"/>
      </rPr>
      <t>ทั้งหมด</t>
    </r>
  </si>
  <si>
    <r>
      <rPr>
        <sz val="13"/>
        <color theme="1"/>
        <rFont val="Arial"/>
        <family val="2"/>
      </rPr>
      <t>- เกษตรกร</t>
    </r>
    <r>
      <rPr>
        <b/>
        <sz val="13"/>
        <color rgb="FFFF0000"/>
        <rFont val="Arial"/>
        <family val="2"/>
      </rPr>
      <t>เฉพาะ</t>
    </r>
    <r>
      <rPr>
        <sz val="13"/>
        <color theme="1"/>
        <rFont val="Arial"/>
        <family val="2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</si>
  <si>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</si>
  <si>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  <family val="2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</si>
  <si>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r>
      <rPr>
        <sz val="15"/>
        <color theme="1"/>
        <rFont val="Arial"/>
        <family val="2"/>
      </rPr>
      <t xml:space="preserve">- ขั้นที่ 1 (เกษตรกร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</si>
  <si>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</si>
  <si>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</si>
  <si>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</si>
  <si>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</si>
  <si>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</si>
  <si>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</si>
  <si>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</si>
  <si>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</si>
  <si>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</si>
  <si>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</si>
  <si>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</si>
  <si>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</si>
  <si>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</si>
  <si>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</si>
  <si>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</si>
  <si>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</si>
  <si>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</si>
  <si>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</si>
  <si>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</si>
  <si>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</si>
  <si>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</si>
  <si>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</si>
  <si>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</si>
  <si>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</si>
  <si>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</si>
  <si>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</si>
  <si>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</si>
  <si>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</si>
  <si>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</si>
  <si>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</si>
  <si>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</si>
  <si>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</si>
  <si>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</si>
  <si>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</si>
  <si>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</si>
  <si>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</si>
  <si>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</si>
  <si>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</si>
  <si>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</si>
  <si>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</si>
  <si>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</si>
  <si>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</si>
  <si>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</si>
  <si>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</si>
  <si>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</si>
  <si>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</si>
  <si>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</si>
  <si>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</si>
  <si>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</si>
  <si>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</si>
  <si>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</si>
  <si>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</si>
  <si>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</si>
  <si>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</si>
  <si>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</si>
  <si>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</si>
  <si>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</si>
  <si>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</si>
  <si>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</si>
  <si>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</si>
  <si>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</si>
  <si>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</si>
  <si>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</si>
  <si>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</si>
  <si>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</si>
  <si>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</si>
  <si>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</si>
  <si>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</si>
  <si>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</si>
  <si>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</si>
  <si>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</si>
  <si>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</si>
  <si>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</si>
  <si>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</si>
  <si>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</si>
  <si>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</si>
  <si>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</si>
  <si>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</si>
  <si>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</si>
  <si>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</si>
  <si>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</si>
  <si>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</si>
  <si>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</si>
  <si>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</si>
  <si>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</si>
  <si>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</si>
  <si>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</si>
  <si>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</si>
  <si>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</si>
  <si>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</si>
  <si>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</si>
  <si>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</si>
  <si>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</si>
  <si>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</si>
  <si>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</si>
  <si>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</si>
  <si>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</si>
  <si>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</si>
  <si>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</si>
  <si>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</si>
  <si>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</si>
  <si>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</si>
  <si>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</si>
  <si>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</si>
  <si>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</si>
  <si>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</si>
  <si>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</si>
  <si>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</si>
  <si>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  <family val="2"/>
      </rPr>
      <t xml:space="preserve">งานพิพาท </t>
    </r>
    <r>
      <rPr>
        <u/>
        <sz val="15"/>
        <color theme="1"/>
        <rFont val="Arial"/>
        <family val="2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</si>
  <si>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</si>
  <si>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</si>
  <si>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</si>
  <si>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</si>
  <si>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</si>
  <si>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</si>
  <si>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</si>
  <si>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</si>
  <si>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</si>
  <si>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</si>
  <si>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</si>
  <si>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</si>
  <si>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</si>
  <si>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</si>
  <si>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</si>
  <si>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</si>
  <si>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</si>
  <si>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</si>
  <si>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</si>
  <si>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</si>
  <si>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</si>
  <si>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</si>
  <si>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</si>
  <si>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</si>
  <si>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</si>
  <si>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</si>
  <si>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</si>
  <si>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</si>
  <si>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</si>
  <si>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</si>
  <si>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</si>
  <si>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</si>
  <si>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</si>
  <si>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</si>
  <si>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</si>
  <si>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</si>
  <si>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</si>
  <si>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</si>
  <si>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</si>
  <si>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  <family val="2"/>
      </rPr>
      <t>- เกษตรกรที่เข้าร่วมโครงการขั้นที่ 1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</si>
  <si>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1</t>
    </r>
  </si>
  <si>
    <r>
      <rPr>
        <sz val="15"/>
        <color theme="1"/>
        <rFont val="Arial"/>
        <family val="2"/>
      </rPr>
      <t>- เกษตรกรที่เข้าร่วมโครงการขั้นที่ 2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</si>
  <si>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2</t>
    </r>
  </si>
  <si>
    <r>
      <rPr>
        <sz val="15"/>
        <color theme="1"/>
        <rFont val="Arial"/>
        <family val="2"/>
      </rPr>
      <t>- เกษตรกรที่เข้าร่วมโครงการขั้นที่ 3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</si>
  <si>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3</t>
    </r>
  </si>
  <si>
    <r>
      <rPr>
        <sz val="15"/>
        <color theme="1"/>
        <rFont val="Arial"/>
        <family val="2"/>
      </rPr>
      <t>- เกษตรกรขั้นที่ 1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</si>
  <si>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  <family val="2"/>
      </rPr>
      <t>รทั้งหม</t>
    </r>
    <r>
      <rPr>
        <sz val="15"/>
        <color theme="1"/>
        <rFont val="Arial"/>
        <family val="2"/>
      </rPr>
      <t>ด)</t>
    </r>
  </si>
  <si>
    <r>
      <rPr>
        <sz val="15"/>
        <color theme="1"/>
        <rFont val="Arial"/>
        <family val="2"/>
      </rPr>
      <t>- เกษตรกรขั้นที่ 2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</si>
  <si>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>- เกษตรกรขั้นที่ 2 (เกษตรกรที่เข้าร่วมโครงการ</t>
    </r>
    <r>
      <rPr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</si>
  <si>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</si>
  <si>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</si>
  <si>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</si>
  <si>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</si>
  <si>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</si>
  <si>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</si>
  <si>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</si>
  <si>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</si>
  <si>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</si>
  <si>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</si>
  <si>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</si>
  <si>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</si>
  <si>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</si>
  <si>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</si>
  <si>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</si>
  <si>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</si>
  <si>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</si>
  <si>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</si>
  <si>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</si>
  <si>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</si>
  <si>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</si>
  <si>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</si>
  <si>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</si>
  <si>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</si>
  <si>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</si>
  <si>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</si>
  <si>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</si>
  <si>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</si>
  <si>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</si>
  <si>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</si>
  <si>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</si>
  <si>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</si>
  <si>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</si>
  <si>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</si>
  <si>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</si>
  <si>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</si>
  <si>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</si>
  <si>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</si>
  <si>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</si>
  <si>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</si>
  <si>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</si>
  <si>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</si>
  <si>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</si>
  <si>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</si>
  <si>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</si>
  <si>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</si>
  <si>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</si>
  <si>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</si>
  <si>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</si>
  <si>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</si>
  <si>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</si>
  <si>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</si>
  <si>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</si>
  <si>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</si>
  <si>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</si>
  <si>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</si>
  <si>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</si>
  <si>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</si>
  <si>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</si>
  <si>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</si>
  <si>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</si>
  <si>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</si>
  <si>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</si>
  <si>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</si>
  <si>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</si>
  <si>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</si>
  <si>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</si>
  <si>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</si>
  <si>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</si>
  <si>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</si>
  <si>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</si>
  <si>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</si>
  <si>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</si>
  <si>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</si>
  <si>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</si>
  <si>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</si>
  <si>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</si>
  <si>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</si>
  <si>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</si>
  <si>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</si>
  <si>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</si>
  <si>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</si>
  <si>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</si>
  <si>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</si>
  <si>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</si>
  <si>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</si>
  <si>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</si>
  <si>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</si>
  <si>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</si>
  <si>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</si>
  <si>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</si>
  <si>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</si>
  <si>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</si>
  <si>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</si>
  <si>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</si>
  <si>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</si>
  <si>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</si>
  <si>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</si>
  <si>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</si>
  <si>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</si>
  <si>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</si>
  <si>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</si>
  <si>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</si>
  <si>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</si>
  <si>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</si>
  <si>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</si>
  <si>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</si>
  <si>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</si>
  <si>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</si>
  <si>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</si>
  <si>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</si>
  <si>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</si>
  <si>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</si>
  <si>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</si>
  <si>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</si>
  <si>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15 ก.ค. 66</t>
  </si>
  <si>
    <t>2. ผลงานจัดที่ดิน ข้อมูลจาก ALRO Land Online ณ วันที่ 17 ก.ค. 66 เวลา 07.21 น.</t>
  </si>
  <si>
    <t>3. โครงการศูนย์บริการประชาชน ข้อมูลจาก ระบบปันสุข ข้อมูล ณ วันที่ 17 ก.ค. 66 เวลา 10.00 น.</t>
  </si>
  <si>
    <t>4. ผลการดำเนินงานกองทุนฯ ข้อมูลจาก สบท. - ข้อมูล ณ วันที่ 30 มิ.ย. 66</t>
  </si>
  <si>
    <t>5. ผลการดำเนินงานกิจกรรมที่ 9-13 ข้อมูลจาก สผส. ณ วันที่ 30 มิ.ย. 66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</si>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</sst>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76">
    <font>
      <sz val="10"/>
      <color rgb="FF000000"/>
      <name val="Arial"/>
      <scheme val="minor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5"/>
      <color rgb="FF000000"/>
      <name val="Arial"/>
      <family val="2"/>
    </font>
    <font>
      <sz val="15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5"/>
      <color rgb="FF000000"/>
      <name val="Arial"/>
      <family val="2"/>
      <scheme val="minor"/>
    </font>
    <font>
      <sz val="10"/>
      <color rgb="FF000000"/>
      <name val="Arial"/>
      <family val="2"/>
    </font>
    <font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5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5"/>
      <color rgb="FFFF0000"/>
      <name val="Arial"/>
      <family val="2"/>
    </font>
    <font>
      <b/>
      <u/>
      <sz val="15"/>
      <color theme="1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Arial"/>
      <family val="2"/>
      <scheme val="minor"/>
    </font>
    <font>
      <sz val="15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u/>
      <sz val="15"/>
      <color rgb="FFFF0000"/>
      <name val="Arial"/>
      <family val="2"/>
    </font>
    <font>
      <sz val="15"/>
      <color rgb="FFFF0000"/>
      <name val="Arial"/>
      <family val="2"/>
    </font>
    <font>
      <b/>
      <u/>
      <sz val="15"/>
      <color rgb="FFFF0000"/>
      <name val="Arial"/>
      <family val="2"/>
    </font>
    <font>
      <b/>
      <u/>
      <sz val="15"/>
      <color rgb="FFFF0000"/>
      <name val="Arial"/>
      <family val="2"/>
    </font>
    <font>
      <sz val="14"/>
      <color rgb="FF000000"/>
      <name val="Arial"/>
      <family val="2"/>
    </font>
    <font>
      <sz val="15"/>
      <color theme="1"/>
      <name val="Sarabun"/>
    </font>
    <font>
      <b/>
      <u/>
      <sz val="15"/>
      <color theme="1"/>
      <name val="Arial"/>
      <family val="2"/>
    </font>
    <font>
      <b/>
      <u/>
      <sz val="15"/>
      <color theme="1"/>
      <name val="Arial"/>
      <family val="2"/>
    </font>
    <font>
      <sz val="13"/>
      <color rgb="FFFF0000"/>
      <name val="Arial"/>
      <family val="2"/>
      <scheme val="minor"/>
    </font>
    <font>
      <sz val="10"/>
      <color rgb="FF1155CC"/>
      <name val="Arial"/>
      <family val="2"/>
    </font>
    <font>
      <b/>
      <sz val="15"/>
      <color rgb="FF1155CC"/>
      <name val="Arial"/>
      <family val="2"/>
    </font>
    <font>
      <b/>
      <u/>
      <sz val="15"/>
      <color rgb="FF1155CC"/>
      <name val="Arial"/>
      <family val="2"/>
    </font>
    <font>
      <b/>
      <sz val="15"/>
      <color rgb="FF1155CC"/>
      <name val="Arial"/>
      <family val="2"/>
      <scheme val="minor"/>
    </font>
    <font>
      <sz val="15"/>
      <color rgb="FF1155CC"/>
      <name val="Arial"/>
      <family val="2"/>
      <scheme val="minor"/>
    </font>
    <font>
      <sz val="10"/>
      <color rgb="FF1155CC"/>
      <name val="Arial"/>
      <family val="2"/>
      <scheme val="minor"/>
    </font>
    <font>
      <sz val="13"/>
      <color rgb="FF1155CC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5"/>
      <color theme="1"/>
      <name val="Arial"/>
      <family val="2"/>
    </font>
    <font>
      <b/>
      <u/>
      <sz val="15"/>
      <color theme="1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i/>
      <sz val="15"/>
      <color rgb="FF000000"/>
      <name val="Arial"/>
      <family val="2"/>
      <scheme val="minor"/>
    </font>
    <font>
      <b/>
      <u/>
      <sz val="15"/>
      <color theme="1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3"/>
      <color theme="1"/>
      <name val="Calibri"/>
      <family val="2"/>
    </font>
    <font>
      <b/>
      <sz val="14"/>
      <color rgb="FFFF0000"/>
      <name val="Arial"/>
      <family val="2"/>
    </font>
    <font>
      <b/>
      <sz val="13"/>
      <color rgb="FFFF0000"/>
      <name val="Arial"/>
      <family val="2"/>
    </font>
    <font>
      <u/>
      <sz val="15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8">
    <xf numFmtId="0" fontId="0" fillId="0" borderId="0" xfId="0" applyFont="1" applyAlignment="1"/>
    <xf numFmtId="0" fontId="5" fillId="8" borderId="3" xfId="0" applyFont="1" applyFill="1" applyBorder="1" applyAlignment="1"/>
    <xf numFmtId="189" fontId="5" fillId="8" borderId="3" xfId="0" applyNumberFormat="1" applyFont="1" applyFill="1" applyBorder="1" applyAlignment="1"/>
    <xf numFmtId="188" fontId="5" fillId="8" borderId="3" xfId="0" applyNumberFormat="1" applyFont="1" applyFill="1" applyBorder="1" applyAlignment="1"/>
    <xf numFmtId="0" fontId="6" fillId="0" borderId="0" xfId="0" applyFont="1"/>
    <xf numFmtId="0" fontId="7" fillId="9" borderId="4" xfId="0" applyFont="1" applyFill="1" applyBorder="1" applyAlignment="1"/>
    <xf numFmtId="0" fontId="8" fillId="9" borderId="4" xfId="0" applyFont="1" applyFill="1" applyBorder="1" applyAlignment="1"/>
    <xf numFmtId="0" fontId="7" fillId="9" borderId="5" xfId="0" applyFont="1" applyFill="1" applyBorder="1" applyAlignment="1"/>
    <xf numFmtId="0" fontId="9" fillId="9" borderId="5" xfId="0" applyFont="1" applyFill="1" applyBorder="1" applyAlignment="1">
      <alignment horizontal="center"/>
    </xf>
    <xf numFmtId="189" fontId="9" fillId="9" borderId="5" xfId="0" applyNumberFormat="1" applyFont="1" applyFill="1" applyBorder="1" applyAlignment="1"/>
    <xf numFmtId="188" fontId="9" fillId="9" borderId="5" xfId="0" applyNumberFormat="1" applyFont="1" applyFill="1" applyBorder="1" applyAlignment="1"/>
    <xf numFmtId="0" fontId="7" fillId="0" borderId="0" xfId="0" applyFont="1" applyAlignment="1"/>
    <xf numFmtId="0" fontId="10" fillId="9" borderId="6" xfId="0" applyFont="1" applyFill="1" applyBorder="1" applyAlignment="1"/>
    <xf numFmtId="0" fontId="11" fillId="9" borderId="6" xfId="0" applyFont="1" applyFill="1" applyBorder="1" applyAlignment="1"/>
    <xf numFmtId="0" fontId="10" fillId="9" borderId="7" xfId="0" applyFont="1" applyFill="1" applyBorder="1" applyAlignment="1"/>
    <xf numFmtId="0" fontId="5" fillId="9" borderId="7" xfId="0" applyFont="1" applyFill="1" applyBorder="1" applyAlignment="1">
      <alignment horizontal="center"/>
    </xf>
    <xf numFmtId="189" fontId="5" fillId="9" borderId="7" xfId="0" applyNumberFormat="1" applyFont="1" applyFill="1" applyBorder="1" applyAlignment="1"/>
    <xf numFmtId="188" fontId="5" fillId="9" borderId="7" xfId="0" applyNumberFormat="1" applyFont="1" applyFill="1" applyBorder="1" applyAlignment="1"/>
    <xf numFmtId="0" fontId="10" fillId="0" borderId="0" xfId="0" applyFont="1" applyAlignment="1"/>
    <xf numFmtId="0" fontId="7" fillId="2" borderId="6" xfId="0" applyFont="1" applyFill="1" applyBorder="1" applyAlignment="1"/>
    <xf numFmtId="0" fontId="12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188" fontId="9" fillId="2" borderId="7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188" fontId="5" fillId="2" borderId="3" xfId="0" applyNumberFormat="1" applyFont="1" applyFill="1" applyBorder="1" applyAlignment="1"/>
    <xf numFmtId="0" fontId="7" fillId="10" borderId="1" xfId="0" applyFont="1" applyFill="1" applyBorder="1" applyAlignment="1"/>
    <xf numFmtId="0" fontId="7" fillId="10" borderId="3" xfId="0" applyFont="1" applyFill="1" applyBorder="1" applyAlignment="1"/>
    <xf numFmtId="0" fontId="9" fillId="10" borderId="3" xfId="0" applyFont="1" applyFill="1" applyBorder="1" applyAlignment="1"/>
    <xf numFmtId="189" fontId="9" fillId="10" borderId="3" xfId="0" applyNumberFormat="1" applyFont="1" applyFill="1" applyBorder="1" applyAlignment="1"/>
    <xf numFmtId="188" fontId="9" fillId="10" borderId="3" xfId="0" applyNumberFormat="1" applyFont="1" applyFill="1" applyBorder="1" applyAlignment="1"/>
    <xf numFmtId="0" fontId="13" fillId="0" borderId="0" xfId="0" applyFont="1"/>
    <xf numFmtId="0" fontId="10" fillId="11" borderId="1" xfId="0" applyFont="1" applyFill="1" applyBorder="1" applyAlignment="1"/>
    <xf numFmtId="0" fontId="10" fillId="11" borderId="3" xfId="0" applyFont="1" applyFill="1" applyBorder="1" applyAlignment="1"/>
    <xf numFmtId="0" fontId="5" fillId="11" borderId="3" xfId="0" applyFont="1" applyFill="1" applyBorder="1" applyAlignment="1"/>
    <xf numFmtId="189" fontId="5" fillId="11" borderId="3" xfId="0" applyNumberFormat="1" applyFont="1" applyFill="1" applyBorder="1" applyAlignment="1"/>
    <xf numFmtId="188" fontId="5" fillId="11" borderId="3" xfId="0" applyNumberFormat="1" applyFont="1" applyFill="1" applyBorder="1" applyAlignment="1"/>
    <xf numFmtId="0" fontId="4" fillId="12" borderId="6" xfId="0" applyFont="1" applyFill="1" applyBorder="1" applyAlignment="1"/>
    <xf numFmtId="0" fontId="10" fillId="12" borderId="6" xfId="0" applyFont="1" applyFill="1" applyBorder="1" applyAlignment="1"/>
    <xf numFmtId="0" fontId="10" fillId="12" borderId="7" xfId="0" applyFont="1" applyFill="1" applyBorder="1" applyAlignment="1"/>
    <xf numFmtId="0" fontId="5" fillId="12" borderId="7" xfId="0" applyFont="1" applyFill="1" applyBorder="1" applyAlignment="1"/>
    <xf numFmtId="189" fontId="5" fillId="12" borderId="7" xfId="0" applyNumberFormat="1" applyFont="1" applyFill="1" applyBorder="1" applyAlignment="1"/>
    <xf numFmtId="188" fontId="5" fillId="12" borderId="7" xfId="0" applyNumberFormat="1" applyFont="1" applyFill="1" applyBorder="1" applyAlignment="1"/>
    <xf numFmtId="0" fontId="5" fillId="13" borderId="7" xfId="0" applyFont="1" applyFill="1" applyBorder="1" applyAlignment="1"/>
    <xf numFmtId="189" fontId="5" fillId="13" borderId="7" xfId="0" applyNumberFormat="1" applyFont="1" applyFill="1" applyBorder="1" applyAlignment="1"/>
    <xf numFmtId="188" fontId="5" fillId="13" borderId="7" xfId="0" applyNumberFormat="1" applyFont="1" applyFill="1" applyBorder="1" applyAlignment="1"/>
    <xf numFmtId="0" fontId="7" fillId="14" borderId="8" xfId="0" applyFont="1" applyFill="1" applyBorder="1" applyAlignment="1"/>
    <xf numFmtId="0" fontId="14" fillId="14" borderId="8" xfId="0" applyFont="1" applyFill="1" applyBorder="1" applyAlignment="1"/>
    <xf numFmtId="0" fontId="7" fillId="14" borderId="9" xfId="0" applyFont="1" applyFill="1" applyBorder="1" applyAlignment="1"/>
    <xf numFmtId="0" fontId="9" fillId="14" borderId="9" xfId="0" applyFont="1" applyFill="1" applyBorder="1" applyAlignment="1">
      <alignment horizontal="center"/>
    </xf>
    <xf numFmtId="189" fontId="9" fillId="14" borderId="9" xfId="0" applyNumberFormat="1" applyFont="1" applyFill="1" applyBorder="1" applyAlignment="1"/>
    <xf numFmtId="188" fontId="9" fillId="14" borderId="9" xfId="0" applyNumberFormat="1" applyFont="1" applyFill="1" applyBorder="1" applyAlignment="1"/>
    <xf numFmtId="0" fontId="10" fillId="14" borderId="6" xfId="0" applyFont="1" applyFill="1" applyBorder="1" applyAlignment="1"/>
    <xf numFmtId="0" fontId="11" fillId="14" borderId="6" xfId="0" applyFont="1" applyFill="1" applyBorder="1" applyAlignment="1"/>
    <xf numFmtId="0" fontId="11" fillId="14" borderId="7" xfId="0" applyFont="1" applyFill="1" applyBorder="1" applyAlignment="1"/>
    <xf numFmtId="0" fontId="5" fillId="14" borderId="7" xfId="0" applyFont="1" applyFill="1" applyBorder="1" applyAlignment="1">
      <alignment horizontal="center"/>
    </xf>
    <xf numFmtId="189" fontId="5" fillId="14" borderId="7" xfId="0" applyNumberFormat="1" applyFont="1" applyFill="1" applyBorder="1" applyAlignment="1"/>
    <xf numFmtId="188" fontId="5" fillId="14" borderId="7" xfId="0" applyNumberFormat="1" applyFont="1" applyFill="1" applyBorder="1" applyAlignment="1"/>
    <xf numFmtId="188" fontId="5" fillId="2" borderId="7" xfId="0" applyNumberFormat="1" applyFont="1" applyFill="1" applyBorder="1" applyAlignment="1"/>
    <xf numFmtId="0" fontId="5" fillId="15" borderId="3" xfId="0" applyFont="1" applyFill="1" applyBorder="1" applyAlignment="1"/>
    <xf numFmtId="189" fontId="5" fillId="15" borderId="3" xfId="0" applyNumberFormat="1" applyFont="1" applyFill="1" applyBorder="1" applyAlignment="1"/>
    <xf numFmtId="188" fontId="5" fillId="15" borderId="3" xfId="0" applyNumberFormat="1" applyFont="1" applyFill="1" applyBorder="1" applyAlignment="1"/>
    <xf numFmtId="0" fontId="5" fillId="16" borderId="7" xfId="0" applyFont="1" applyFill="1" applyBorder="1" applyAlignment="1"/>
    <xf numFmtId="189" fontId="5" fillId="16" borderId="7" xfId="0" applyNumberFormat="1" applyFont="1" applyFill="1" applyBorder="1" applyAlignment="1"/>
    <xf numFmtId="188" fontId="5" fillId="16" borderId="7" xfId="0" applyNumberFormat="1" applyFont="1" applyFill="1" applyBorder="1" applyAlignment="1"/>
    <xf numFmtId="0" fontId="4" fillId="17" borderId="6" xfId="0" applyFont="1" applyFill="1" applyBorder="1" applyAlignment="1"/>
    <xf numFmtId="0" fontId="10" fillId="17" borderId="6" xfId="0" applyFont="1" applyFill="1" applyBorder="1" applyAlignment="1"/>
    <xf numFmtId="0" fontId="10" fillId="17" borderId="7" xfId="0" applyFont="1" applyFill="1" applyBorder="1" applyAlignment="1"/>
    <xf numFmtId="0" fontId="5" fillId="17" borderId="7" xfId="0" applyFont="1" applyFill="1" applyBorder="1" applyAlignment="1"/>
    <xf numFmtId="189" fontId="5" fillId="17" borderId="7" xfId="0" applyNumberFormat="1" applyFont="1" applyFill="1" applyBorder="1" applyAlignment="1"/>
    <xf numFmtId="188" fontId="5" fillId="17" borderId="7" xfId="0" applyNumberFormat="1" applyFont="1" applyFill="1" applyBorder="1" applyAlignment="1"/>
    <xf numFmtId="0" fontId="7" fillId="18" borderId="8" xfId="0" applyFont="1" applyFill="1" applyBorder="1" applyAlignment="1"/>
    <xf numFmtId="0" fontId="15" fillId="18" borderId="8" xfId="0" applyFont="1" applyFill="1" applyBorder="1" applyAlignment="1"/>
    <xf numFmtId="0" fontId="7" fillId="18" borderId="9" xfId="0" applyFont="1" applyFill="1" applyBorder="1" applyAlignment="1"/>
    <xf numFmtId="0" fontId="9" fillId="18" borderId="9" xfId="0" applyFont="1" applyFill="1" applyBorder="1" applyAlignment="1">
      <alignment horizontal="center"/>
    </xf>
    <xf numFmtId="189" fontId="9" fillId="18" borderId="9" xfId="0" applyNumberFormat="1" applyFont="1" applyFill="1" applyBorder="1" applyAlignment="1"/>
    <xf numFmtId="188" fontId="9" fillId="18" borderId="9" xfId="0" applyNumberFormat="1" applyFont="1" applyFill="1" applyBorder="1" applyAlignment="1"/>
    <xf numFmtId="0" fontId="10" fillId="18" borderId="6" xfId="0" applyFont="1" applyFill="1" applyBorder="1" applyAlignment="1"/>
    <xf numFmtId="0" fontId="11" fillId="18" borderId="6" xfId="0" applyFont="1" applyFill="1" applyBorder="1" applyAlignment="1"/>
    <xf numFmtId="0" fontId="11" fillId="18" borderId="7" xfId="0" applyFont="1" applyFill="1" applyBorder="1" applyAlignment="1"/>
    <xf numFmtId="0" fontId="5" fillId="18" borderId="7" xfId="0" applyFont="1" applyFill="1" applyBorder="1" applyAlignment="1">
      <alignment horizontal="center"/>
    </xf>
    <xf numFmtId="189" fontId="5" fillId="18" borderId="7" xfId="0" applyNumberFormat="1" applyFont="1" applyFill="1" applyBorder="1" applyAlignment="1"/>
    <xf numFmtId="188" fontId="5" fillId="18" borderId="7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3" xfId="0" applyFont="1" applyFill="1" applyBorder="1" applyAlignment="1"/>
    <xf numFmtId="0" fontId="5" fillId="19" borderId="3" xfId="0" applyFont="1" applyFill="1" applyBorder="1" applyAlignment="1"/>
    <xf numFmtId="189" fontId="5" fillId="19" borderId="3" xfId="0" applyNumberFormat="1" applyFont="1" applyFill="1" applyBorder="1" applyAlignment="1"/>
    <xf numFmtId="188" fontId="5" fillId="19" borderId="3" xfId="0" applyNumberFormat="1" applyFont="1" applyFill="1" applyBorder="1" applyAlignment="1"/>
    <xf numFmtId="0" fontId="10" fillId="20" borderId="6" xfId="0" applyFont="1" applyFill="1" applyBorder="1" applyAlignment="1"/>
    <xf numFmtId="187" fontId="10" fillId="20" borderId="6" xfId="0" applyNumberFormat="1" applyFont="1" applyFill="1" applyBorder="1" applyAlignment="1"/>
    <xf numFmtId="0" fontId="10" fillId="20" borderId="7" xfId="0" applyFont="1" applyFill="1" applyBorder="1" applyAlignment="1"/>
    <xf numFmtId="0" fontId="5" fillId="20" borderId="7" xfId="0" applyFont="1" applyFill="1" applyBorder="1" applyAlignment="1"/>
    <xf numFmtId="189" fontId="5" fillId="20" borderId="7" xfId="0" applyNumberFormat="1" applyFont="1" applyFill="1" applyBorder="1" applyAlignment="1"/>
    <xf numFmtId="188" fontId="5" fillId="20" borderId="7" xfId="0" applyNumberFormat="1" applyFont="1" applyFill="1" applyBorder="1" applyAlignment="1"/>
    <xf numFmtId="187" fontId="10" fillId="9" borderId="6" xfId="0" applyNumberFormat="1" applyFont="1" applyFill="1" applyBorder="1" applyAlignment="1"/>
    <xf numFmtId="189" fontId="9" fillId="9" borderId="7" xfId="0" applyNumberFormat="1" applyFont="1" applyFill="1" applyBorder="1" applyAlignment="1"/>
    <xf numFmtId="188" fontId="9" fillId="9" borderId="7" xfId="0" applyNumberFormat="1" applyFont="1" applyFill="1" applyBorder="1" applyAlignment="1"/>
    <xf numFmtId="0" fontId="10" fillId="2" borderId="8" xfId="0" applyFont="1" applyFill="1" applyBorder="1" applyAlignment="1"/>
    <xf numFmtId="0" fontId="4" fillId="2" borderId="8" xfId="0" applyFont="1" applyFill="1" applyBorder="1" applyAlignment="1"/>
    <xf numFmtId="0" fontId="16" fillId="2" borderId="8" xfId="0" applyFont="1" applyFill="1" applyBorder="1" applyAlignment="1"/>
    <xf numFmtId="0" fontId="10" fillId="2" borderId="9" xfId="0" applyFont="1" applyFill="1" applyBorder="1" applyAlignment="1"/>
    <xf numFmtId="187" fontId="9" fillId="2" borderId="9" xfId="0" applyNumberFormat="1" applyFont="1" applyFill="1" applyBorder="1" applyAlignment="1">
      <alignment horizontal="center"/>
    </xf>
    <xf numFmtId="189" fontId="5" fillId="2" borderId="9" xfId="0" applyNumberFormat="1" applyFont="1" applyFill="1" applyBorder="1" applyAlignment="1"/>
    <xf numFmtId="188" fontId="5" fillId="2" borderId="9" xfId="0" applyNumberFormat="1" applyFont="1" applyFill="1" applyBorder="1" applyAlignment="1"/>
    <xf numFmtId="188" fontId="9" fillId="2" borderId="9" xfId="0" applyNumberFormat="1" applyFont="1" applyFill="1" applyBorder="1" applyAlignment="1"/>
    <xf numFmtId="0" fontId="11" fillId="2" borderId="7" xfId="0" applyFont="1" applyFill="1" applyBorder="1" applyAlignment="1"/>
    <xf numFmtId="187" fontId="5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187" fontId="9" fillId="0" borderId="7" xfId="0" applyNumberFormat="1" applyFont="1" applyBorder="1" applyAlignment="1">
      <alignment horizontal="center" wrapText="1"/>
    </xf>
    <xf numFmtId="189" fontId="9" fillId="0" borderId="7" xfId="0" applyNumberFormat="1" applyFont="1" applyBorder="1" applyAlignment="1"/>
    <xf numFmtId="188" fontId="9" fillId="0" borderId="7" xfId="0" applyNumberFormat="1" applyFont="1" applyBorder="1" applyAlignment="1"/>
    <xf numFmtId="188" fontId="5" fillId="0" borderId="7" xfId="0" applyNumberFormat="1" applyFont="1" applyBorder="1" applyAlignment="1"/>
    <xf numFmtId="187" fontId="9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10" fillId="0" borderId="6" xfId="0" applyNumberFormat="1" applyFont="1" applyBorder="1" applyAlignment="1"/>
    <xf numFmtId="0" fontId="17" fillId="21" borderId="6" xfId="0" quotePrefix="1" applyFont="1" applyFill="1" applyBorder="1" applyAlignment="1"/>
    <xf numFmtId="0" fontId="10" fillId="21" borderId="6" xfId="0" applyFont="1" applyFill="1" applyBorder="1" applyAlignment="1"/>
    <xf numFmtId="0" fontId="10" fillId="21" borderId="7" xfId="0" applyFont="1" applyFill="1" applyBorder="1" applyAlignment="1"/>
    <xf numFmtId="0" fontId="11" fillId="0" borderId="6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9" fillId="0" borderId="7" xfId="0" applyFont="1" applyBorder="1" applyAlignment="1">
      <alignment horizontal="center" wrapText="1"/>
    </xf>
    <xf numFmtId="189" fontId="5" fillId="0" borderId="7" xfId="0" applyNumberFormat="1" applyFont="1" applyBorder="1" applyAlignment="1"/>
    <xf numFmtId="0" fontId="2" fillId="20" borderId="6" xfId="0" applyFont="1" applyFill="1" applyBorder="1" applyAlignment="1"/>
    <xf numFmtId="187" fontId="2" fillId="20" borderId="6" xfId="0" applyNumberFormat="1" applyFont="1" applyFill="1" applyBorder="1" applyAlignment="1"/>
    <xf numFmtId="0" fontId="2" fillId="20" borderId="7" xfId="0" applyFont="1" applyFill="1" applyBorder="1" applyAlignment="1"/>
    <xf numFmtId="0" fontId="18" fillId="20" borderId="7" xfId="0" applyFont="1" applyFill="1" applyBorder="1" applyAlignment="1"/>
    <xf numFmtId="189" fontId="18" fillId="20" borderId="7" xfId="0" applyNumberFormat="1" applyFont="1" applyFill="1" applyBorder="1" applyAlignment="1"/>
    <xf numFmtId="188" fontId="18" fillId="20" borderId="7" xfId="0" applyNumberFormat="1" applyFont="1" applyFill="1" applyBorder="1" applyAlignment="1"/>
    <xf numFmtId="0" fontId="1" fillId="9" borderId="6" xfId="0" applyFont="1" applyFill="1" applyBorder="1" applyAlignment="1"/>
    <xf numFmtId="0" fontId="2" fillId="9" borderId="6" xfId="0" applyFont="1" applyFill="1" applyBorder="1" applyAlignment="1"/>
    <xf numFmtId="187" fontId="2" fillId="9" borderId="6" xfId="0" applyNumberFormat="1" applyFont="1" applyFill="1" applyBorder="1" applyAlignment="1"/>
    <xf numFmtId="0" fontId="2" fillId="9" borderId="7" xfId="0" applyFont="1" applyFill="1" applyBorder="1" applyAlignment="1"/>
    <xf numFmtId="0" fontId="19" fillId="9" borderId="7" xfId="0" applyFont="1" applyFill="1" applyBorder="1" applyAlignment="1">
      <alignment horizontal="center" wrapText="1"/>
    </xf>
    <xf numFmtId="189" fontId="19" fillId="9" borderId="7" xfId="0" applyNumberFormat="1" applyFont="1" applyFill="1" applyBorder="1" applyAlignment="1"/>
    <xf numFmtId="188" fontId="19" fillId="9" borderId="7" xfId="0" applyNumberFormat="1" applyFont="1" applyFill="1" applyBorder="1" applyAlignment="1"/>
    <xf numFmtId="188" fontId="18" fillId="9" borderId="7" xfId="0" applyNumberFormat="1" applyFont="1" applyFill="1" applyBorder="1" applyAlignment="1"/>
    <xf numFmtId="187" fontId="2" fillId="0" borderId="6" xfId="0" applyNumberFormat="1" applyFont="1" applyBorder="1" applyAlignment="1"/>
    <xf numFmtId="0" fontId="21" fillId="21" borderId="6" xfId="0" quotePrefix="1" applyFont="1" applyFill="1" applyBorder="1" applyAlignment="1"/>
    <xf numFmtId="0" fontId="2" fillId="21" borderId="6" xfId="0" applyFont="1" applyFill="1" applyBorder="1" applyAlignment="1"/>
    <xf numFmtId="0" fontId="2" fillId="21" borderId="7" xfId="0" applyFont="1" applyFill="1" applyBorder="1" applyAlignment="1"/>
    <xf numFmtId="0" fontId="18" fillId="0" borderId="7" xfId="0" applyFont="1" applyBorder="1" applyAlignment="1"/>
    <xf numFmtId="188" fontId="18" fillId="0" borderId="7" xfId="0" applyNumberFormat="1" applyFont="1" applyBorder="1" applyAlignment="1"/>
    <xf numFmtId="0" fontId="22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3" fillId="0" borderId="6" xfId="0" applyFont="1" applyBorder="1" applyAlignment="1"/>
    <xf numFmtId="0" fontId="18" fillId="2" borderId="7" xfId="0" applyFont="1" applyFill="1" applyBorder="1" applyAlignment="1"/>
    <xf numFmtId="0" fontId="24" fillId="0" borderId="6" xfId="0" applyFont="1" applyBorder="1" applyAlignment="1"/>
    <xf numFmtId="0" fontId="1" fillId="0" borderId="6" xfId="0" applyFont="1" applyBorder="1" applyAlignment="1"/>
    <xf numFmtId="0" fontId="19" fillId="0" borderId="7" xfId="0" applyFont="1" applyBorder="1" applyAlignment="1">
      <alignment horizontal="center"/>
    </xf>
    <xf numFmtId="189" fontId="19" fillId="0" borderId="7" xfId="0" applyNumberFormat="1" applyFont="1" applyBorder="1" applyAlignment="1"/>
    <xf numFmtId="189" fontId="19" fillId="2" borderId="7" xfId="0" applyNumberFormat="1" applyFont="1" applyFill="1" applyBorder="1" applyAlignment="1"/>
    <xf numFmtId="188" fontId="19" fillId="2" borderId="7" xfId="0" applyNumberFormat="1" applyFont="1" applyFill="1" applyBorder="1" applyAlignment="1"/>
    <xf numFmtId="0" fontId="19" fillId="2" borderId="7" xfId="0" applyFont="1" applyFill="1" applyBorder="1" applyAlignment="1">
      <alignment horizontal="center"/>
    </xf>
    <xf numFmtId="0" fontId="22" fillId="0" borderId="8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90" fontId="10" fillId="20" borderId="6" xfId="0" applyNumberFormat="1" applyFont="1" applyFill="1" applyBorder="1" applyAlignment="1"/>
    <xf numFmtId="0" fontId="5" fillId="20" borderId="6" xfId="0" applyFont="1" applyFill="1" applyBorder="1" applyAlignment="1"/>
    <xf numFmtId="189" fontId="5" fillId="20" borderId="6" xfId="0" applyNumberFormat="1" applyFont="1" applyFill="1" applyBorder="1" applyAlignment="1"/>
    <xf numFmtId="188" fontId="5" fillId="20" borderId="6" xfId="0" applyNumberFormat="1" applyFont="1" applyFill="1" applyBorder="1" applyAlignment="1"/>
    <xf numFmtId="190" fontId="10" fillId="9" borderId="6" xfId="0" applyNumberFormat="1" applyFont="1" applyFill="1" applyBorder="1" applyAlignment="1"/>
    <xf numFmtId="0" fontId="9" fillId="9" borderId="7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4" fillId="9" borderId="6" xfId="0" applyFont="1" applyFill="1" applyBorder="1" applyAlignment="1"/>
    <xf numFmtId="190" fontId="4" fillId="9" borderId="6" xfId="0" applyNumberFormat="1" applyFont="1" applyFill="1" applyBorder="1" applyAlignment="1"/>
    <xf numFmtId="0" fontId="25" fillId="2" borderId="6" xfId="0" applyFont="1" applyFill="1" applyBorder="1" applyAlignment="1"/>
    <xf numFmtId="189" fontId="5" fillId="10" borderId="7" xfId="0" applyNumberFormat="1" applyFont="1" applyFill="1" applyBorder="1" applyAlignment="1"/>
    <xf numFmtId="0" fontId="26" fillId="9" borderId="6" xfId="0" applyFont="1" applyFill="1" applyBorder="1" applyAlignment="1"/>
    <xf numFmtId="0" fontId="7" fillId="9" borderId="6" xfId="0" applyFont="1" applyFill="1" applyBorder="1" applyAlignment="1"/>
    <xf numFmtId="0" fontId="4" fillId="9" borderId="7" xfId="0" applyFont="1" applyFill="1" applyBorder="1" applyAlignment="1"/>
    <xf numFmtId="187" fontId="9" fillId="9" borderId="7" xfId="0" applyNumberFormat="1" applyFont="1" applyFill="1" applyBorder="1" applyAlignment="1">
      <alignment horizontal="center"/>
    </xf>
    <xf numFmtId="0" fontId="10" fillId="2" borderId="12" xfId="0" applyFont="1" applyFill="1" applyBorder="1" applyAlignment="1"/>
    <xf numFmtId="0" fontId="4" fillId="2" borderId="12" xfId="0" applyFont="1" applyFill="1" applyBorder="1" applyAlignment="1"/>
    <xf numFmtId="0" fontId="11" fillId="2" borderId="12" xfId="0" applyFont="1" applyFill="1" applyBorder="1" applyAlignment="1"/>
    <xf numFmtId="0" fontId="27" fillId="2" borderId="12" xfId="0" applyFont="1" applyFill="1" applyBorder="1" applyAlignment="1"/>
    <xf numFmtId="0" fontId="11" fillId="2" borderId="13" xfId="0" applyFont="1" applyFill="1" applyBorder="1" applyAlignment="1"/>
    <xf numFmtId="187" fontId="5" fillId="0" borderId="13" xfId="0" applyNumberFormat="1" applyFont="1" applyBorder="1" applyAlignment="1">
      <alignment horizontal="center"/>
    </xf>
    <xf numFmtId="189" fontId="5" fillId="2" borderId="13" xfId="0" applyNumberFormat="1" applyFont="1" applyFill="1" applyBorder="1" applyAlignment="1"/>
    <xf numFmtId="188" fontId="5" fillId="2" borderId="13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3" xfId="0" applyFont="1" applyFill="1" applyBorder="1" applyAlignment="1"/>
    <xf numFmtId="0" fontId="5" fillId="7" borderId="3" xfId="0" applyFont="1" applyFill="1" applyBorder="1" applyAlignment="1"/>
    <xf numFmtId="189" fontId="5" fillId="7" borderId="3" xfId="0" applyNumberFormat="1" applyFont="1" applyFill="1" applyBorder="1" applyAlignment="1"/>
    <xf numFmtId="188" fontId="5" fillId="7" borderId="3" xfId="0" applyNumberFormat="1" applyFont="1" applyFill="1" applyBorder="1" applyAlignment="1"/>
    <xf numFmtId="187" fontId="10" fillId="22" borderId="6" xfId="0" applyNumberFormat="1" applyFont="1" applyFill="1" applyBorder="1" applyAlignment="1"/>
    <xf numFmtId="0" fontId="10" fillId="22" borderId="6" xfId="0" applyFont="1" applyFill="1" applyBorder="1" applyAlignment="1"/>
    <xf numFmtId="0" fontId="10" fillId="22" borderId="7" xfId="0" applyFont="1" applyFill="1" applyBorder="1" applyAlignment="1"/>
    <xf numFmtId="0" fontId="5" fillId="22" borderId="7" xfId="0" applyFont="1" applyFill="1" applyBorder="1" applyAlignment="1"/>
    <xf numFmtId="189" fontId="5" fillId="22" borderId="7" xfId="0" applyNumberFormat="1" applyFont="1" applyFill="1" applyBorder="1" applyAlignment="1"/>
    <xf numFmtId="188" fontId="5" fillId="22" borderId="7" xfId="0" applyNumberFormat="1" applyFont="1" applyFill="1" applyBorder="1" applyAlignment="1"/>
    <xf numFmtId="0" fontId="4" fillId="21" borderId="6" xfId="0" applyFont="1" applyFill="1" applyBorder="1" applyAlignment="1"/>
    <xf numFmtId="187" fontId="10" fillId="21" borderId="6" xfId="0" applyNumberFormat="1" applyFont="1" applyFill="1" applyBorder="1" applyAlignment="1"/>
    <xf numFmtId="0" fontId="9" fillId="21" borderId="7" xfId="0" applyFont="1" applyFill="1" applyBorder="1" applyAlignment="1">
      <alignment horizontal="center" wrapText="1"/>
    </xf>
    <xf numFmtId="189" fontId="9" fillId="21" borderId="7" xfId="0" applyNumberFormat="1" applyFont="1" applyFill="1" applyBorder="1" applyAlignment="1"/>
    <xf numFmtId="188" fontId="9" fillId="21" borderId="7" xfId="0" applyNumberFormat="1" applyFont="1" applyFill="1" applyBorder="1" applyAlignment="1"/>
    <xf numFmtId="188" fontId="5" fillId="21" borderId="7" xfId="0" applyNumberFormat="1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89" fontId="9" fillId="2" borderId="9" xfId="0" applyNumberFormat="1" applyFont="1" applyFill="1" applyBorder="1" applyAlignment="1"/>
    <xf numFmtId="0" fontId="10" fillId="23" borderId="6" xfId="0" applyFont="1" applyFill="1" applyBorder="1" applyAlignment="1"/>
    <xf numFmtId="187" fontId="11" fillId="23" borderId="6" xfId="0" applyNumberFormat="1" applyFont="1" applyFill="1" applyBorder="1" applyAlignment="1"/>
    <xf numFmtId="0" fontId="10" fillId="23" borderId="7" xfId="0" applyFont="1" applyFill="1" applyBorder="1" applyAlignment="1"/>
    <xf numFmtId="0" fontId="9" fillId="23" borderId="7" xfId="0" applyFont="1" applyFill="1" applyBorder="1" applyAlignment="1">
      <alignment horizontal="center" wrapText="1"/>
    </xf>
    <xf numFmtId="188" fontId="9" fillId="23" borderId="7" xfId="0" applyNumberFormat="1" applyFont="1" applyFill="1" applyBorder="1" applyAlignment="1"/>
    <xf numFmtId="188" fontId="5" fillId="23" borderId="7" xfId="0" applyNumberFormat="1" applyFont="1" applyFill="1" applyBorder="1" applyAlignment="1"/>
    <xf numFmtId="187" fontId="10" fillId="23" borderId="6" xfId="0" applyNumberFormat="1" applyFont="1" applyFill="1" applyBorder="1" applyAlignment="1"/>
    <xf numFmtId="189" fontId="9" fillId="23" borderId="7" xfId="0" applyNumberFormat="1" applyFont="1" applyFill="1" applyBorder="1" applyAlignment="1"/>
    <xf numFmtId="189" fontId="5" fillId="2" borderId="7" xfId="0" applyNumberFormat="1" applyFont="1" applyFill="1" applyBorder="1" applyAlignment="1"/>
    <xf numFmtId="0" fontId="4" fillId="23" borderId="6" xfId="0" applyFont="1" applyFill="1" applyBorder="1" applyAlignment="1"/>
    <xf numFmtId="0" fontId="28" fillId="2" borderId="8" xfId="0" quotePrefix="1" applyFont="1" applyFill="1" applyBorder="1" applyAlignment="1"/>
    <xf numFmtId="187" fontId="9" fillId="0" borderId="9" xfId="0" applyNumberFormat="1" applyFont="1" applyBorder="1" applyAlignment="1">
      <alignment horizontal="center" wrapText="1"/>
    </xf>
    <xf numFmtId="188" fontId="9" fillId="10" borderId="9" xfId="0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9" fillId="23" borderId="7" xfId="0" applyFont="1" applyFill="1" applyBorder="1" applyAlignment="1">
      <alignment horizontal="center"/>
    </xf>
    <xf numFmtId="189" fontId="5" fillId="0" borderId="9" xfId="0" applyNumberFormat="1" applyFont="1" applyBorder="1" applyAlignment="1"/>
    <xf numFmtId="188" fontId="5" fillId="0" borderId="9" xfId="0" applyNumberFormat="1" applyFont="1" applyBorder="1" applyAlignment="1"/>
    <xf numFmtId="187" fontId="10" fillId="2" borderId="6" xfId="0" applyNumberFormat="1" applyFont="1" applyFill="1" applyBorder="1" applyAlignment="1"/>
    <xf numFmtId="0" fontId="11" fillId="2" borderId="6" xfId="0" applyFont="1" applyFill="1" applyBorder="1" applyAlignment="1"/>
    <xf numFmtId="188" fontId="5" fillId="10" borderId="7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2" fillId="0" borderId="9" xfId="0" applyFont="1" applyBorder="1" applyAlignment="1"/>
    <xf numFmtId="0" fontId="10" fillId="23" borderId="8" xfId="0" applyFont="1" applyFill="1" applyBorder="1" applyAlignment="1"/>
    <xf numFmtId="187" fontId="4" fillId="2" borderId="6" xfId="0" applyNumberFormat="1" applyFont="1" applyFill="1" applyBorder="1" applyAlignment="1"/>
    <xf numFmtId="187" fontId="11" fillId="0" borderId="6" xfId="0" quotePrefix="1" applyNumberFormat="1" applyFont="1" applyBorder="1" applyAlignment="1"/>
    <xf numFmtId="187" fontId="29" fillId="23" borderId="6" xfId="0" applyNumberFormat="1" applyFont="1" applyFill="1" applyBorder="1" applyAlignment="1"/>
    <xf numFmtId="0" fontId="20" fillId="23" borderId="6" xfId="0" applyFont="1" applyFill="1" applyBorder="1" applyAlignment="1"/>
    <xf numFmtId="0" fontId="29" fillId="23" borderId="6" xfId="0" applyFont="1" applyFill="1" applyBorder="1" applyAlignment="1"/>
    <xf numFmtId="0" fontId="29" fillId="23" borderId="7" xfId="0" applyFont="1" applyFill="1" applyBorder="1" applyAlignment="1"/>
    <xf numFmtId="0" fontId="30" fillId="23" borderId="7" xfId="0" applyFont="1" applyFill="1" applyBorder="1" applyAlignment="1">
      <alignment horizontal="center" wrapText="1"/>
    </xf>
    <xf numFmtId="189" fontId="30" fillId="23" borderId="7" xfId="0" applyNumberFormat="1" applyFont="1" applyFill="1" applyBorder="1" applyAlignment="1"/>
    <xf numFmtId="188" fontId="30" fillId="23" borderId="7" xfId="0" applyNumberFormat="1" applyFont="1" applyFill="1" applyBorder="1" applyAlignment="1"/>
    <xf numFmtId="188" fontId="31" fillId="23" borderId="7" xfId="0" applyNumberFormat="1" applyFont="1" applyFill="1" applyBorder="1" applyAlignment="1"/>
    <xf numFmtId="0" fontId="32" fillId="0" borderId="0" xfId="0" applyFont="1"/>
    <xf numFmtId="0" fontId="29" fillId="2" borderId="8" xfId="0" applyFont="1" applyFill="1" applyBorder="1" applyAlignment="1"/>
    <xf numFmtId="0" fontId="20" fillId="2" borderId="8" xfId="0" applyFont="1" applyFill="1" applyBorder="1" applyAlignment="1"/>
    <xf numFmtId="0" fontId="33" fillId="2" borderId="8" xfId="0" applyFont="1" applyFill="1" applyBorder="1" applyAlignment="1"/>
    <xf numFmtId="0" fontId="29" fillId="2" borderId="9" xfId="0" applyFont="1" applyFill="1" applyBorder="1" applyAlignment="1"/>
    <xf numFmtId="187" fontId="30" fillId="0" borderId="9" xfId="0" applyNumberFormat="1" applyFont="1" applyBorder="1" applyAlignment="1">
      <alignment horizontal="center" wrapText="1"/>
    </xf>
    <xf numFmtId="189" fontId="31" fillId="0" borderId="9" xfId="0" applyNumberFormat="1" applyFont="1" applyBorder="1" applyAlignment="1"/>
    <xf numFmtId="188" fontId="31" fillId="0" borderId="9" xfId="0" applyNumberFormat="1" applyFont="1" applyBorder="1" applyAlignment="1"/>
    <xf numFmtId="188" fontId="30" fillId="2" borderId="9" xfId="0" applyNumberFormat="1" applyFont="1" applyFill="1" applyBorder="1" applyAlignment="1"/>
    <xf numFmtId="0" fontId="29" fillId="0" borderId="0" xfId="0" applyFont="1" applyAlignment="1"/>
    <xf numFmtId="187" fontId="29" fillId="2" borderId="6" xfId="0" applyNumberFormat="1" applyFont="1" applyFill="1" applyBorder="1" applyAlignment="1"/>
    <xf numFmtId="0" fontId="29" fillId="2" borderId="6" xfId="0" applyFont="1" applyFill="1" applyBorder="1" applyAlignment="1"/>
    <xf numFmtId="0" fontId="29" fillId="2" borderId="7" xfId="0" applyFont="1" applyFill="1" applyBorder="1" applyAlignment="1"/>
    <xf numFmtId="187" fontId="31" fillId="0" borderId="7" xfId="0" applyNumberFormat="1" applyFont="1" applyBorder="1" applyAlignment="1">
      <alignment horizontal="center" wrapText="1"/>
    </xf>
    <xf numFmtId="189" fontId="31" fillId="0" borderId="7" xfId="0" applyNumberFormat="1" applyFont="1" applyBorder="1" applyAlignment="1"/>
    <xf numFmtId="188" fontId="31" fillId="0" borderId="7" xfId="0" applyNumberFormat="1" applyFont="1" applyBorder="1" applyAlignment="1"/>
    <xf numFmtId="188" fontId="31" fillId="2" borderId="7" xfId="0" applyNumberFormat="1" applyFont="1" applyFill="1" applyBorder="1" applyAlignment="1"/>
    <xf numFmtId="188" fontId="31" fillId="10" borderId="7" xfId="0" applyNumberFormat="1" applyFont="1" applyFill="1" applyBorder="1" applyAlignment="1"/>
    <xf numFmtId="187" fontId="20" fillId="2" borderId="6" xfId="0" applyNumberFormat="1" applyFont="1" applyFill="1" applyBorder="1" applyAlignment="1"/>
    <xf numFmtId="0" fontId="34" fillId="2" borderId="6" xfId="0" applyFont="1" applyFill="1" applyBorder="1" applyAlignment="1"/>
    <xf numFmtId="189" fontId="31" fillId="2" borderId="7" xfId="0" applyNumberFormat="1" applyFont="1" applyFill="1" applyBorder="1" applyAlignment="1"/>
    <xf numFmtId="0" fontId="29" fillId="2" borderId="0" xfId="0" applyFont="1" applyFill="1" applyAlignment="1"/>
    <xf numFmtId="187" fontId="29" fillId="0" borderId="6" xfId="0" applyNumberFormat="1" applyFont="1" applyBorder="1" applyAlignment="1"/>
    <xf numFmtId="0" fontId="35" fillId="21" borderId="6" xfId="0" quotePrefix="1" applyFont="1" applyFill="1" applyBorder="1" applyAlignment="1"/>
    <xf numFmtId="0" fontId="29" fillId="21" borderId="6" xfId="0" applyFont="1" applyFill="1" applyBorder="1" applyAlignment="1"/>
    <xf numFmtId="0" fontId="29" fillId="21" borderId="7" xfId="0" applyFont="1" applyFill="1" applyBorder="1" applyAlignment="1"/>
    <xf numFmtId="0" fontId="31" fillId="0" borderId="7" xfId="0" applyFont="1" applyBorder="1" applyAlignment="1"/>
    <xf numFmtId="0" fontId="34" fillId="0" borderId="6" xfId="0" applyFont="1" applyBorder="1" applyAlignment="1"/>
    <xf numFmtId="0" fontId="29" fillId="0" borderId="7" xfId="0" applyFont="1" applyBorder="1" applyAlignment="1"/>
    <xf numFmtId="0" fontId="31" fillId="0" borderId="7" xfId="0" applyFont="1" applyBorder="1" applyAlignment="1">
      <alignment horizontal="center"/>
    </xf>
    <xf numFmtId="189" fontId="31" fillId="10" borderId="7" xfId="0" applyNumberFormat="1" applyFont="1" applyFill="1" applyBorder="1" applyAlignment="1"/>
    <xf numFmtId="187" fontId="34" fillId="0" borderId="6" xfId="0" quotePrefix="1" applyNumberFormat="1" applyFont="1" applyBorder="1" applyAlignment="1"/>
    <xf numFmtId="0" fontId="29" fillId="0" borderId="6" xfId="0" applyFont="1" applyBorder="1" applyAlignment="1"/>
    <xf numFmtId="0" fontId="34" fillId="0" borderId="6" xfId="0" quotePrefix="1" applyFont="1" applyBorder="1" applyAlignment="1"/>
    <xf numFmtId="0" fontId="36" fillId="2" borderId="8" xfId="0" quotePrefix="1" applyFont="1" applyFill="1" applyBorder="1" applyAlignment="1"/>
    <xf numFmtId="0" fontId="37" fillId="0" borderId="6" xfId="0" quotePrefix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189" fontId="5" fillId="2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3" xfId="0" applyFont="1" applyFill="1" applyBorder="1" applyAlignment="1"/>
    <xf numFmtId="0" fontId="5" fillId="24" borderId="3" xfId="0" applyFont="1" applyFill="1" applyBorder="1" applyAlignment="1"/>
    <xf numFmtId="189" fontId="5" fillId="24" borderId="3" xfId="0" applyNumberFormat="1" applyFont="1" applyFill="1" applyBorder="1" applyAlignment="1"/>
    <xf numFmtId="188" fontId="5" fillId="24" borderId="3" xfId="0" applyNumberFormat="1" applyFont="1" applyFill="1" applyBorder="1" applyAlignment="1"/>
    <xf numFmtId="0" fontId="10" fillId="25" borderId="6" xfId="0" applyFont="1" applyFill="1" applyBorder="1" applyAlignment="1"/>
    <xf numFmtId="187" fontId="10" fillId="25" borderId="6" xfId="0" applyNumberFormat="1" applyFont="1" applyFill="1" applyBorder="1" applyAlignment="1"/>
    <xf numFmtId="0" fontId="5" fillId="25" borderId="6" xfId="0" applyFont="1" applyFill="1" applyBorder="1" applyAlignment="1"/>
    <xf numFmtId="189" fontId="5" fillId="25" borderId="6" xfId="0" applyNumberFormat="1" applyFont="1" applyFill="1" applyBorder="1" applyAlignment="1"/>
    <xf numFmtId="189" fontId="5" fillId="25" borderId="7" xfId="0" applyNumberFormat="1" applyFont="1" applyFill="1" applyBorder="1" applyAlignment="1"/>
    <xf numFmtId="188" fontId="5" fillId="25" borderId="7" xfId="0" applyNumberFormat="1" applyFont="1" applyFill="1" applyBorder="1" applyAlignment="1"/>
    <xf numFmtId="0" fontId="10" fillId="26" borderId="6" xfId="0" applyFont="1" applyFill="1" applyBorder="1" applyAlignment="1"/>
    <xf numFmtId="187" fontId="10" fillId="26" borderId="6" xfId="0" applyNumberFormat="1" applyFont="1" applyFill="1" applyBorder="1" applyAlignment="1"/>
    <xf numFmtId="0" fontId="10" fillId="26" borderId="7" xfId="0" applyFont="1" applyFill="1" applyBorder="1" applyAlignment="1"/>
    <xf numFmtId="0" fontId="9" fillId="26" borderId="7" xfId="0" applyFont="1" applyFill="1" applyBorder="1" applyAlignment="1">
      <alignment horizontal="center" wrapText="1"/>
    </xf>
    <xf numFmtId="189" fontId="9" fillId="26" borderId="7" xfId="0" applyNumberFormat="1" applyFont="1" applyFill="1" applyBorder="1" applyAlignment="1"/>
    <xf numFmtId="188" fontId="9" fillId="26" borderId="7" xfId="0" applyNumberFormat="1" applyFont="1" applyFill="1" applyBorder="1" applyAlignment="1"/>
    <xf numFmtId="188" fontId="5" fillId="26" borderId="7" xfId="0" applyNumberFormat="1" applyFont="1" applyFill="1" applyBorder="1" applyAlignment="1"/>
    <xf numFmtId="0" fontId="4" fillId="2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189" fontId="18" fillId="2" borderId="7" xfId="0" applyNumberFormat="1" applyFont="1" applyFill="1" applyBorder="1" applyAlignment="1"/>
    <xf numFmtId="0" fontId="19" fillId="0" borderId="7" xfId="0" applyFont="1" applyBorder="1" applyAlignment="1">
      <alignment horizontal="center" wrapText="1"/>
    </xf>
    <xf numFmtId="188" fontId="19" fillId="0" borderId="7" xfId="0" applyNumberFormat="1" applyFont="1" applyBorder="1" applyAlignment="1"/>
    <xf numFmtId="0" fontId="38" fillId="0" borderId="6" xfId="0" applyFont="1" applyBorder="1" applyAlignment="1"/>
    <xf numFmtId="0" fontId="19" fillId="0" borderId="6" xfId="0" applyFont="1" applyBorder="1" applyAlignment="1"/>
    <xf numFmtId="0" fontId="18" fillId="0" borderId="7" xfId="0" applyFont="1" applyBorder="1" applyAlignment="1">
      <alignment horizontal="center"/>
    </xf>
    <xf numFmtId="189" fontId="18" fillId="0" borderId="7" xfId="0" applyNumberFormat="1" applyFont="1" applyBorder="1" applyAlignment="1"/>
    <xf numFmtId="187" fontId="2" fillId="0" borderId="8" xfId="0" applyNumberFormat="1" applyFont="1" applyBorder="1" applyAlignment="1"/>
    <xf numFmtId="0" fontId="38" fillId="0" borderId="8" xfId="0" applyFont="1" applyBorder="1" applyAlignment="1"/>
    <xf numFmtId="0" fontId="19" fillId="0" borderId="8" xfId="0" applyFont="1" applyBorder="1" applyAlignment="1"/>
    <xf numFmtId="0" fontId="18" fillId="0" borderId="9" xfId="0" applyFont="1" applyBorder="1" applyAlignment="1">
      <alignment horizontal="center"/>
    </xf>
    <xf numFmtId="189" fontId="18" fillId="0" borderId="9" xfId="0" applyNumberFormat="1" applyFont="1" applyBorder="1" applyAlignment="1"/>
    <xf numFmtId="188" fontId="18" fillId="0" borderId="9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189" fontId="18" fillId="0" borderId="3" xfId="0" applyNumberFormat="1" applyFont="1" applyBorder="1" applyAlignment="1"/>
    <xf numFmtId="189" fontId="18" fillId="10" borderId="3" xfId="0" applyNumberFormat="1" applyFont="1" applyFill="1" applyBorder="1" applyAlignment="1"/>
    <xf numFmtId="188" fontId="18" fillId="0" borderId="3" xfId="0" applyNumberFormat="1" applyFont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3" xfId="0" applyFont="1" applyFill="1" applyBorder="1" applyAlignment="1"/>
    <xf numFmtId="0" fontId="18" fillId="27" borderId="3" xfId="0" applyFont="1" applyFill="1" applyBorder="1" applyAlignment="1"/>
    <xf numFmtId="189" fontId="18" fillId="27" borderId="3" xfId="0" applyNumberFormat="1" applyFont="1" applyFill="1" applyBorder="1" applyAlignment="1"/>
    <xf numFmtId="188" fontId="18" fillId="27" borderId="3" xfId="0" applyNumberFormat="1" applyFont="1" applyFill="1" applyBorder="1" applyAlignment="1"/>
    <xf numFmtId="187" fontId="2" fillId="28" borderId="6" xfId="0" applyNumberFormat="1" applyFont="1" applyFill="1" applyBorder="1" applyAlignment="1"/>
    <xf numFmtId="0" fontId="2" fillId="28" borderId="6" xfId="0" applyFont="1" applyFill="1" applyBorder="1" applyAlignment="1"/>
    <xf numFmtId="0" fontId="2" fillId="28" borderId="7" xfId="0" applyFont="1" applyFill="1" applyBorder="1" applyAlignment="1"/>
    <xf numFmtId="0" fontId="18" fillId="28" borderId="7" xfId="0" applyFont="1" applyFill="1" applyBorder="1" applyAlignment="1"/>
    <xf numFmtId="189" fontId="18" fillId="28" borderId="7" xfId="0" applyNumberFormat="1" applyFont="1" applyFill="1" applyBorder="1" applyAlignment="1"/>
    <xf numFmtId="188" fontId="18" fillId="28" borderId="7" xfId="0" applyNumberFormat="1" applyFont="1" applyFill="1" applyBorder="1" applyAlignment="1"/>
    <xf numFmtId="0" fontId="4" fillId="29" borderId="6" xfId="0" applyFont="1" applyFill="1" applyBorder="1" applyAlignment="1"/>
    <xf numFmtId="0" fontId="10" fillId="29" borderId="6" xfId="0" applyFont="1" applyFill="1" applyBorder="1" applyAlignment="1"/>
    <xf numFmtId="0" fontId="10" fillId="29" borderId="7" xfId="0" applyFont="1" applyFill="1" applyBorder="1" applyAlignment="1"/>
    <xf numFmtId="0" fontId="9" fillId="29" borderId="7" xfId="0" applyFont="1" applyFill="1" applyBorder="1" applyAlignment="1">
      <alignment horizontal="center" wrapText="1"/>
    </xf>
    <xf numFmtId="189" fontId="9" fillId="29" borderId="7" xfId="0" applyNumberFormat="1" applyFont="1" applyFill="1" applyBorder="1" applyAlignment="1"/>
    <xf numFmtId="188" fontId="9" fillId="29" borderId="7" xfId="0" applyNumberFormat="1" applyFont="1" applyFill="1" applyBorder="1" applyAlignment="1"/>
    <xf numFmtId="188" fontId="5" fillId="29" borderId="7" xfId="0" applyNumberFormat="1" applyFont="1" applyFill="1" applyBorder="1" applyAlignment="1"/>
    <xf numFmtId="0" fontId="11" fillId="0" borderId="6" xfId="0" applyFont="1" applyBorder="1" applyAlignment="1"/>
    <xf numFmtId="187" fontId="10" fillId="28" borderId="6" xfId="0" applyNumberFormat="1" applyFont="1" applyFill="1" applyBorder="1" applyAlignment="1"/>
    <xf numFmtId="0" fontId="10" fillId="28" borderId="6" xfId="0" applyFont="1" applyFill="1" applyBorder="1" applyAlignment="1"/>
    <xf numFmtId="0" fontId="5" fillId="28" borderId="6" xfId="0" applyFont="1" applyFill="1" applyBorder="1" applyAlignment="1"/>
    <xf numFmtId="189" fontId="5" fillId="28" borderId="7" xfId="0" applyNumberFormat="1" applyFont="1" applyFill="1" applyBorder="1" applyAlignment="1"/>
    <xf numFmtId="188" fontId="5" fillId="28" borderId="7" xfId="0" applyNumberFormat="1" applyFont="1" applyFill="1" applyBorder="1" applyAlignment="1"/>
    <xf numFmtId="190" fontId="10" fillId="29" borderId="6" xfId="0" applyNumberFormat="1" applyFont="1" applyFill="1" applyBorder="1" applyAlignment="1"/>
    <xf numFmtId="187" fontId="10" fillId="29" borderId="6" xfId="0" applyNumberFormat="1" applyFont="1" applyFill="1" applyBorder="1" applyAlignment="1"/>
    <xf numFmtId="189" fontId="5" fillId="29" borderId="7" xfId="0" applyNumberFormat="1" applyFont="1" applyFill="1" applyBorder="1" applyAlignment="1"/>
    <xf numFmtId="187" fontId="2" fillId="23" borderId="6" xfId="0" applyNumberFormat="1" applyFont="1" applyFill="1" applyBorder="1" applyAlignment="1"/>
    <xf numFmtId="0" fontId="2" fillId="23" borderId="6" xfId="0" applyFont="1" applyFill="1" applyBorder="1" applyAlignment="1"/>
    <xf numFmtId="0" fontId="39" fillId="23" borderId="6" xfId="0" applyFont="1" applyFill="1" applyBorder="1" applyAlignment="1"/>
    <xf numFmtId="0" fontId="2" fillId="23" borderId="7" xfId="0" applyFont="1" applyFill="1" applyBorder="1" applyAlignment="1"/>
    <xf numFmtId="0" fontId="18" fillId="23" borderId="7" xfId="0" applyFont="1" applyFill="1" applyBorder="1" applyAlignment="1"/>
    <xf numFmtId="189" fontId="18" fillId="23" borderId="7" xfId="0" applyNumberFormat="1" applyFont="1" applyFill="1" applyBorder="1" applyAlignment="1"/>
    <xf numFmtId="188" fontId="18" fillId="23" borderId="7" xfId="0" applyNumberFormat="1" applyFont="1" applyFill="1" applyBorder="1" applyAlignment="1"/>
    <xf numFmtId="187" fontId="2" fillId="8" borderId="6" xfId="0" applyNumberFormat="1" applyFont="1" applyFill="1" applyBorder="1" applyAlignment="1"/>
    <xf numFmtId="0" fontId="20" fillId="8" borderId="6" xfId="0" applyFont="1" applyFill="1" applyBorder="1" applyAlignment="1"/>
    <xf numFmtId="0" fontId="40" fillId="8" borderId="6" xfId="0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19" fillId="8" borderId="7" xfId="0" applyFont="1" applyFill="1" applyBorder="1" applyAlignment="1">
      <alignment horizontal="center"/>
    </xf>
    <xf numFmtId="189" fontId="19" fillId="8" borderId="7" xfId="0" applyNumberFormat="1" applyFont="1" applyFill="1" applyBorder="1" applyAlignment="1"/>
    <xf numFmtId="188" fontId="19" fillId="8" borderId="7" xfId="0" applyNumberFormat="1" applyFont="1" applyFill="1" applyBorder="1" applyAlignment="1"/>
    <xf numFmtId="188" fontId="18" fillId="8" borderId="7" xfId="0" applyNumberFormat="1" applyFont="1" applyFill="1" applyBorder="1" applyAlignment="1"/>
    <xf numFmtId="0" fontId="24" fillId="8" borderId="6" xfId="0" applyFont="1" applyFill="1" applyBorder="1" applyAlignment="1"/>
    <xf numFmtId="0" fontId="18" fillId="8" borderId="7" xfId="0" applyFont="1" applyFill="1" applyBorder="1" applyAlignment="1"/>
    <xf numFmtId="189" fontId="18" fillId="8" borderId="7" xfId="0" applyNumberFormat="1" applyFont="1" applyFill="1" applyBorder="1" applyAlignment="1"/>
    <xf numFmtId="0" fontId="22" fillId="0" borderId="6" xfId="0" quotePrefix="1" applyFont="1" applyBorder="1" applyAlignment="1"/>
    <xf numFmtId="187" fontId="42" fillId="8" borderId="6" xfId="0" applyNumberFormat="1" applyFont="1" applyFill="1" applyBorder="1" applyAlignment="1"/>
    <xf numFmtId="0" fontId="43" fillId="8" borderId="6" xfId="0" applyFont="1" applyFill="1" applyBorder="1" applyAlignment="1"/>
    <xf numFmtId="0" fontId="44" fillId="8" borderId="6" xfId="0" applyFont="1" applyFill="1" applyBorder="1" applyAlignment="1"/>
    <xf numFmtId="0" fontId="42" fillId="8" borderId="6" xfId="0" applyFont="1" applyFill="1" applyBorder="1" applyAlignment="1"/>
    <xf numFmtId="0" fontId="42" fillId="8" borderId="7" xfId="0" applyFont="1" applyFill="1" applyBorder="1" applyAlignment="1"/>
    <xf numFmtId="0" fontId="45" fillId="8" borderId="7" xfId="0" applyFont="1" applyFill="1" applyBorder="1" applyAlignment="1">
      <alignment horizontal="center"/>
    </xf>
    <xf numFmtId="189" fontId="45" fillId="8" borderId="7" xfId="0" applyNumberFormat="1" applyFont="1" applyFill="1" applyBorder="1" applyAlignment="1"/>
    <xf numFmtId="188" fontId="45" fillId="8" borderId="7" xfId="0" applyNumberFormat="1" applyFont="1" applyFill="1" applyBorder="1" applyAlignment="1"/>
    <xf numFmtId="188" fontId="46" fillId="8" borderId="7" xfId="0" applyNumberFormat="1" applyFont="1" applyFill="1" applyBorder="1" applyAlignment="1"/>
    <xf numFmtId="0" fontId="47" fillId="0" borderId="0" xfId="0" applyFont="1"/>
    <xf numFmtId="187" fontId="42" fillId="30" borderId="6" xfId="0" applyNumberFormat="1" applyFont="1" applyFill="1" applyBorder="1" applyAlignment="1"/>
    <xf numFmtId="0" fontId="43" fillId="30" borderId="6" xfId="0" applyFont="1" applyFill="1" applyBorder="1" applyAlignment="1"/>
    <xf numFmtId="0" fontId="42" fillId="30" borderId="6" xfId="0" applyFont="1" applyFill="1" applyBorder="1" applyAlignment="1"/>
    <xf numFmtId="0" fontId="42" fillId="30" borderId="7" xfId="0" applyFont="1" applyFill="1" applyBorder="1" applyAlignment="1"/>
    <xf numFmtId="0" fontId="45" fillId="30" borderId="7" xfId="0" applyFont="1" applyFill="1" applyBorder="1" applyAlignment="1">
      <alignment horizontal="center"/>
    </xf>
    <xf numFmtId="189" fontId="45" fillId="30" borderId="7" xfId="0" applyNumberFormat="1" applyFont="1" applyFill="1" applyBorder="1" applyAlignment="1"/>
    <xf numFmtId="188" fontId="45" fillId="30" borderId="7" xfId="0" applyNumberFormat="1" applyFont="1" applyFill="1" applyBorder="1" applyAlignment="1"/>
    <xf numFmtId="188" fontId="46" fillId="30" borderId="7" xfId="0" applyNumberFormat="1" applyFont="1" applyFill="1" applyBorder="1" applyAlignment="1"/>
    <xf numFmtId="0" fontId="48" fillId="30" borderId="6" xfId="0" applyFont="1" applyFill="1" applyBorder="1" applyAlignment="1"/>
    <xf numFmtId="0" fontId="46" fillId="30" borderId="7" xfId="0" applyFont="1" applyFill="1" applyBorder="1" applyAlignment="1"/>
    <xf numFmtId="189" fontId="46" fillId="30" borderId="7" xfId="0" applyNumberFormat="1" applyFont="1" applyFill="1" applyBorder="1" applyAlignment="1"/>
    <xf numFmtId="0" fontId="49" fillId="0" borderId="0" xfId="0" applyFont="1" applyAlignment="1"/>
    <xf numFmtId="2" fontId="50" fillId="0" borderId="0" xfId="0" applyNumberFormat="1" applyFont="1"/>
    <xf numFmtId="41" fontId="45" fillId="30" borderId="7" xfId="0" applyNumberFormat="1" applyFont="1" applyFill="1" applyBorder="1" applyAlignment="1"/>
    <xf numFmtId="188" fontId="18" fillId="2" borderId="7" xfId="0" applyNumberFormat="1" applyFont="1" applyFill="1" applyBorder="1" applyAlignment="1"/>
    <xf numFmtId="0" fontId="51" fillId="23" borderId="6" xfId="0" applyFont="1" applyFill="1" applyBorder="1" applyAlignment="1"/>
    <xf numFmtId="0" fontId="22" fillId="0" borderId="1" xfId="0" applyFont="1" applyBorder="1" applyAlignment="1"/>
    <xf numFmtId="0" fontId="18" fillId="0" borderId="3" xfId="0" applyFont="1" applyBorder="1" applyAlignment="1">
      <alignment horizontal="center" wrapText="1"/>
    </xf>
    <xf numFmtId="189" fontId="18" fillId="2" borderId="3" xfId="0" applyNumberFormat="1" applyFont="1" applyFill="1" applyBorder="1" applyAlignment="1"/>
    <xf numFmtId="188" fontId="18" fillId="2" borderId="3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3" xfId="0" applyFont="1" applyFill="1" applyBorder="1" applyAlignment="1"/>
    <xf numFmtId="0" fontId="18" fillId="31" borderId="3" xfId="0" applyFont="1" applyFill="1" applyBorder="1" applyAlignment="1"/>
    <xf numFmtId="189" fontId="18" fillId="31" borderId="3" xfId="0" applyNumberFormat="1" applyFont="1" applyFill="1" applyBorder="1" applyAlignment="1"/>
    <xf numFmtId="188" fontId="18" fillId="31" borderId="3" xfId="0" applyNumberFormat="1" applyFont="1" applyFill="1" applyBorder="1" applyAlignment="1"/>
    <xf numFmtId="187" fontId="2" fillId="32" borderId="6" xfId="0" applyNumberFormat="1" applyFont="1" applyFill="1" applyBorder="1" applyAlignment="1"/>
    <xf numFmtId="0" fontId="2" fillId="32" borderId="6" xfId="0" applyFont="1" applyFill="1" applyBorder="1" applyAlignment="1"/>
    <xf numFmtId="0" fontId="18" fillId="32" borderId="7" xfId="0" applyFont="1" applyFill="1" applyBorder="1" applyAlignment="1"/>
    <xf numFmtId="189" fontId="18" fillId="32" borderId="7" xfId="0" applyNumberFormat="1" applyFont="1" applyFill="1" applyBorder="1" applyAlignment="1"/>
    <xf numFmtId="188" fontId="18" fillId="32" borderId="7" xfId="0" applyNumberFormat="1" applyFont="1" applyFill="1" applyBorder="1" applyAlignment="1"/>
    <xf numFmtId="0" fontId="1" fillId="33" borderId="6" xfId="0" applyFont="1" applyFill="1" applyBorder="1" applyAlignment="1"/>
    <xf numFmtId="187" fontId="2" fillId="33" borderId="6" xfId="0" applyNumberFormat="1" applyFont="1" applyFill="1" applyBorder="1" applyAlignment="1"/>
    <xf numFmtId="0" fontId="2" fillId="33" borderId="6" xfId="0" applyFont="1" applyFill="1" applyBorder="1" applyAlignment="1"/>
    <xf numFmtId="0" fontId="2" fillId="33" borderId="7" xfId="0" applyFont="1" applyFill="1" applyBorder="1" applyAlignment="1"/>
    <xf numFmtId="0" fontId="19" fillId="33" borderId="7" xfId="0" applyFont="1" applyFill="1" applyBorder="1" applyAlignment="1">
      <alignment horizontal="center" wrapText="1"/>
    </xf>
    <xf numFmtId="189" fontId="19" fillId="33" borderId="7" xfId="0" applyNumberFormat="1" applyFont="1" applyFill="1" applyBorder="1" applyAlignment="1"/>
    <xf numFmtId="188" fontId="19" fillId="33" borderId="7" xfId="0" applyNumberFormat="1" applyFont="1" applyFill="1" applyBorder="1" applyAlignment="1"/>
    <xf numFmtId="188" fontId="18" fillId="33" borderId="7" xfId="0" applyNumberFormat="1" applyFont="1" applyFill="1" applyBorder="1" applyAlignment="1"/>
    <xf numFmtId="0" fontId="2" fillId="2" borderId="8" xfId="0" applyFont="1" applyFill="1" applyBorder="1" applyAlignment="1"/>
    <xf numFmtId="0" fontId="52" fillId="2" borderId="8" xfId="0" applyFont="1" applyFill="1" applyBorder="1" applyAlignment="1"/>
    <xf numFmtId="0" fontId="2" fillId="2" borderId="9" xfId="0" applyFont="1" applyFill="1" applyBorder="1" applyAlignment="1"/>
    <xf numFmtId="187" fontId="19" fillId="2" borderId="9" xfId="0" applyNumberFormat="1" applyFont="1" applyFill="1" applyBorder="1" applyAlignment="1">
      <alignment horizontal="center"/>
    </xf>
    <xf numFmtId="189" fontId="18" fillId="2" borderId="9" xfId="0" applyNumberFormat="1" applyFont="1" applyFill="1" applyBorder="1" applyAlignment="1"/>
    <xf numFmtId="188" fontId="18" fillId="2" borderId="9" xfId="0" applyNumberFormat="1" applyFont="1" applyFill="1" applyBorder="1" applyAlignment="1"/>
    <xf numFmtId="188" fontId="19" fillId="2" borderId="9" xfId="0" applyNumberFormat="1" applyFont="1" applyFill="1" applyBorder="1" applyAlignment="1"/>
    <xf numFmtId="0" fontId="2" fillId="0" borderId="0" xfId="0" applyFont="1" applyAlignment="1"/>
    <xf numFmtId="187" fontId="10" fillId="2" borderId="8" xfId="0" applyNumberFormat="1" applyFont="1" applyFill="1" applyBorder="1" applyAlignment="1"/>
    <xf numFmtId="0" fontId="11" fillId="0" borderId="8" xfId="0" applyFont="1" applyBorder="1" applyAlignment="1"/>
    <xf numFmtId="187" fontId="10" fillId="0" borderId="8" xfId="0" applyNumberFormat="1" applyFont="1" applyBorder="1" applyAlignment="1"/>
    <xf numFmtId="0" fontId="11" fillId="2" borderId="9" xfId="0" applyFont="1" applyFill="1" applyBorder="1" applyAlignment="1">
      <alignment horizontal="center" wrapText="1"/>
    </xf>
    <xf numFmtId="188" fontId="10" fillId="2" borderId="9" xfId="0" applyNumberFormat="1" applyFont="1" applyFill="1" applyBorder="1" applyAlignment="1"/>
    <xf numFmtId="0" fontId="4" fillId="33" borderId="6" xfId="0" applyFont="1" applyFill="1" applyBorder="1" applyAlignment="1"/>
    <xf numFmtId="187" fontId="10" fillId="33" borderId="6" xfId="0" applyNumberFormat="1" applyFont="1" applyFill="1" applyBorder="1" applyAlignment="1"/>
    <xf numFmtId="0" fontId="10" fillId="33" borderId="6" xfId="0" applyFont="1" applyFill="1" applyBorder="1" applyAlignment="1"/>
    <xf numFmtId="0" fontId="10" fillId="33" borderId="7" xfId="0" applyFont="1" applyFill="1" applyBorder="1" applyAlignment="1"/>
    <xf numFmtId="0" fontId="9" fillId="33" borderId="7" xfId="0" applyFont="1" applyFill="1" applyBorder="1" applyAlignment="1">
      <alignment horizontal="center" wrapText="1"/>
    </xf>
    <xf numFmtId="189" fontId="9" fillId="33" borderId="7" xfId="0" applyNumberFormat="1" applyFont="1" applyFill="1" applyBorder="1" applyAlignment="1"/>
    <xf numFmtId="188" fontId="9" fillId="33" borderId="7" xfId="0" applyNumberFormat="1" applyFont="1" applyFill="1" applyBorder="1" applyAlignment="1"/>
    <xf numFmtId="188" fontId="5" fillId="33" borderId="7" xfId="0" applyNumberFormat="1" applyFont="1" applyFill="1" applyBorder="1" applyAlignment="1"/>
    <xf numFmtId="0" fontId="10" fillId="21" borderId="2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/>
    <xf numFmtId="0" fontId="5" fillId="0" borderId="16" xfId="0" applyFont="1" applyBorder="1" applyAlignment="1">
      <alignment horizontal="center"/>
    </xf>
    <xf numFmtId="189" fontId="5" fillId="2" borderId="15" xfId="0" applyNumberFormat="1" applyFont="1" applyFill="1" applyBorder="1" applyAlignment="1"/>
    <xf numFmtId="189" fontId="5" fillId="10" borderId="15" xfId="0" applyNumberFormat="1" applyFont="1" applyFill="1" applyBorder="1" applyAlignment="1"/>
    <xf numFmtId="188" fontId="5" fillId="2" borderId="15" xfId="0" applyNumberFormat="1" applyFont="1" applyFill="1" applyBorder="1" applyAlignment="1"/>
    <xf numFmtId="188" fontId="5" fillId="0" borderId="15" xfId="0" applyNumberFormat="1" applyFont="1" applyBorder="1" applyAlignment="1"/>
    <xf numFmtId="0" fontId="2" fillId="34" borderId="6" xfId="0" applyFont="1" applyFill="1" applyBorder="1" applyAlignment="1"/>
    <xf numFmtId="0" fontId="2" fillId="34" borderId="7" xfId="0" applyFont="1" applyFill="1" applyBorder="1" applyAlignment="1"/>
    <xf numFmtId="0" fontId="18" fillId="34" borderId="7" xfId="0" applyFont="1" applyFill="1" applyBorder="1" applyAlignment="1"/>
    <xf numFmtId="189" fontId="18" fillId="34" borderId="7" xfId="0" applyNumberFormat="1" applyFont="1" applyFill="1" applyBorder="1" applyAlignment="1"/>
    <xf numFmtId="188" fontId="18" fillId="34" borderId="7" xfId="0" applyNumberFormat="1" applyFont="1" applyFill="1" applyBorder="1" applyAlignment="1"/>
    <xf numFmtId="188" fontId="19" fillId="34" borderId="7" xfId="0" applyNumberFormat="1" applyFont="1" applyFill="1" applyBorder="1" applyAlignment="1"/>
    <xf numFmtId="0" fontId="2" fillId="35" borderId="6" xfId="0" applyFont="1" applyFill="1" applyBorder="1" applyAlignment="1"/>
    <xf numFmtId="0" fontId="18" fillId="35" borderId="6" xfId="0" applyFont="1" applyFill="1" applyBorder="1" applyAlignment="1"/>
    <xf numFmtId="189" fontId="18" fillId="35" borderId="6" xfId="0" applyNumberFormat="1" applyFont="1" applyFill="1" applyBorder="1" applyAlignment="1"/>
    <xf numFmtId="188" fontId="18" fillId="35" borderId="6" xfId="0" applyNumberFormat="1" applyFont="1" applyFill="1" applyBorder="1" applyAlignment="1"/>
    <xf numFmtId="188" fontId="18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18" fillId="35" borderId="7" xfId="0" applyFont="1" applyFill="1" applyBorder="1" applyAlignment="1"/>
    <xf numFmtId="189" fontId="18" fillId="35" borderId="7" xfId="0" applyNumberFormat="1" applyFont="1" applyFill="1" applyBorder="1" applyAlignment="1"/>
    <xf numFmtId="187" fontId="1" fillId="36" borderId="6" xfId="0" applyNumberFormat="1" applyFont="1" applyFill="1" applyBorder="1" applyAlignment="1">
      <alignment wrapText="1"/>
    </xf>
    <xf numFmtId="187" fontId="1" fillId="36" borderId="6" xfId="0" applyNumberFormat="1" applyFont="1" applyFill="1" applyBorder="1" applyAlignment="1"/>
    <xf numFmtId="0" fontId="2" fillId="36" borderId="6" xfId="0" applyFont="1" applyFill="1" applyBorder="1" applyAlignment="1"/>
    <xf numFmtId="0" fontId="2" fillId="36" borderId="7" xfId="0" applyFont="1" applyFill="1" applyBorder="1" applyAlignment="1"/>
    <xf numFmtId="0" fontId="19" fillId="36" borderId="7" xfId="0" applyFont="1" applyFill="1" applyBorder="1" applyAlignment="1">
      <alignment horizontal="center"/>
    </xf>
    <xf numFmtId="189" fontId="19" fillId="36" borderId="7" xfId="0" applyNumberFormat="1" applyFont="1" applyFill="1" applyBorder="1" applyAlignment="1"/>
    <xf numFmtId="188" fontId="19" fillId="36" borderId="7" xfId="0" applyNumberFormat="1" applyFont="1" applyFill="1" applyBorder="1" applyAlignment="1"/>
    <xf numFmtId="188" fontId="18" fillId="36" borderId="7" xfId="0" applyNumberFormat="1" applyFont="1" applyFill="1" applyBorder="1" applyAlignment="1"/>
    <xf numFmtId="187" fontId="7" fillId="2" borderId="6" xfId="0" applyNumberFormat="1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/>
    <xf numFmtId="0" fontId="55" fillId="21" borderId="8" xfId="0" quotePrefix="1" applyFont="1" applyFill="1" applyBorder="1" applyAlignment="1"/>
    <xf numFmtId="0" fontId="10" fillId="21" borderId="8" xfId="0" applyFont="1" applyFill="1" applyBorder="1" applyAlignment="1"/>
    <xf numFmtId="0" fontId="10" fillId="21" borderId="9" xfId="0" applyFont="1" applyFill="1" applyBorder="1" applyAlignment="1"/>
    <xf numFmtId="0" fontId="5" fillId="0" borderId="9" xfId="0" applyFont="1" applyBorder="1" applyAlignment="1"/>
    <xf numFmtId="0" fontId="4" fillId="0" borderId="6" xfId="0" applyFont="1" applyBorder="1" applyAlignment="1"/>
    <xf numFmtId="189" fontId="5" fillId="2" borderId="7" xfId="0" applyNumberFormat="1" applyFont="1" applyFill="1" applyBorder="1" applyAlignment="1">
      <alignment horizontal="right"/>
    </xf>
    <xf numFmtId="189" fontId="5" fillId="10" borderId="7" xfId="0" applyNumberFormat="1" applyFont="1" applyFill="1" applyBorder="1" applyAlignment="1">
      <alignment horizontal="right"/>
    </xf>
    <xf numFmtId="0" fontId="9" fillId="36" borderId="8" xfId="0" applyFont="1" applyFill="1" applyBorder="1" applyAlignment="1"/>
    <xf numFmtId="0" fontId="5" fillId="36" borderId="8" xfId="0" applyFont="1" applyFill="1" applyBorder="1" applyAlignment="1"/>
    <xf numFmtId="0" fontId="5" fillId="36" borderId="9" xfId="0" applyFont="1" applyFill="1" applyBorder="1" applyAlignment="1"/>
    <xf numFmtId="189" fontId="9" fillId="36" borderId="9" xfId="0" applyNumberFormat="1" applyFont="1" applyFill="1" applyBorder="1" applyAlignment="1"/>
    <xf numFmtId="188" fontId="9" fillId="36" borderId="9" xfId="0" applyNumberFormat="1" applyFont="1" applyFill="1" applyBorder="1" applyAlignment="1"/>
    <xf numFmtId="188" fontId="5" fillId="36" borderId="9" xfId="0" applyNumberFormat="1" applyFont="1" applyFill="1" applyBorder="1" applyAlignment="1"/>
    <xf numFmtId="0" fontId="5" fillId="36" borderId="6" xfId="0" applyFont="1" applyFill="1" applyBorder="1" applyAlignment="1"/>
    <xf numFmtId="0" fontId="5" fillId="36" borderId="7" xfId="0" applyFont="1" applyFill="1" applyBorder="1" applyAlignment="1"/>
    <xf numFmtId="189" fontId="9" fillId="36" borderId="7" xfId="0" applyNumberFormat="1" applyFont="1" applyFill="1" applyBorder="1" applyAlignment="1"/>
    <xf numFmtId="188" fontId="9" fillId="36" borderId="7" xfId="0" applyNumberFormat="1" applyFont="1" applyFill="1" applyBorder="1" applyAlignment="1"/>
    <xf numFmtId="188" fontId="5" fillId="36" borderId="7" xfId="0" applyNumberFormat="1" applyFont="1" applyFill="1" applyBorder="1" applyAlignment="1"/>
    <xf numFmtId="187" fontId="9" fillId="2" borderId="6" xfId="0" applyNumberFormat="1" applyFont="1" applyFill="1" applyBorder="1" applyAlignment="1"/>
    <xf numFmtId="0" fontId="9" fillId="2" borderId="6" xfId="0" applyFont="1" applyFill="1" applyBorder="1" applyAlignment="1"/>
    <xf numFmtId="0" fontId="57" fillId="2" borderId="6" xfId="0" applyFont="1" applyFill="1" applyBorder="1" applyAlignment="1"/>
    <xf numFmtId="0" fontId="9" fillId="2" borderId="7" xfId="0" applyFont="1" applyFill="1" applyBorder="1" applyAlignment="1"/>
    <xf numFmtId="0" fontId="9" fillId="0" borderId="0" xfId="0" applyFont="1" applyAlignment="1"/>
    <xf numFmtId="187" fontId="5" fillId="2" borderId="6" xfId="0" applyNumberFormat="1" applyFont="1" applyFill="1" applyBorder="1" applyAlignment="1"/>
    <xf numFmtId="187" fontId="58" fillId="21" borderId="6" xfId="0" applyNumberFormat="1" applyFont="1" applyFill="1" applyBorder="1" applyAlignment="1"/>
    <xf numFmtId="187" fontId="5" fillId="21" borderId="6" xfId="0" applyNumberFormat="1" applyFont="1" applyFill="1" applyBorder="1" applyAlignment="1"/>
    <xf numFmtId="0" fontId="5" fillId="21" borderId="7" xfId="0" applyFont="1" applyFill="1" applyBorder="1" applyAlignment="1"/>
    <xf numFmtId="187" fontId="5" fillId="0" borderId="6" xfId="0" applyNumberFormat="1" applyFont="1" applyBorder="1" applyAlignment="1"/>
    <xf numFmtId="0" fontId="59" fillId="2" borderId="7" xfId="0" applyFont="1" applyFill="1" applyBorder="1" applyAlignment="1"/>
    <xf numFmtId="187" fontId="18" fillId="2" borderId="6" xfId="0" applyNumberFormat="1" applyFont="1" applyFill="1" applyBorder="1" applyAlignment="1"/>
    <xf numFmtId="187" fontId="60" fillId="21" borderId="6" xfId="0" quotePrefix="1" applyNumberFormat="1" applyFont="1" applyFill="1" applyBorder="1" applyAlignment="1"/>
    <xf numFmtId="187" fontId="18" fillId="21" borderId="6" xfId="0" applyNumberFormat="1" applyFont="1" applyFill="1" applyBorder="1" applyAlignment="1"/>
    <xf numFmtId="0" fontId="18" fillId="21" borderId="6" xfId="0" applyFont="1" applyFill="1" applyBorder="1" applyAlignment="1"/>
    <xf numFmtId="0" fontId="18" fillId="21" borderId="7" xfId="0" applyFont="1" applyFill="1" applyBorder="1" applyAlignment="1"/>
    <xf numFmtId="0" fontId="18" fillId="0" borderId="0" xfId="0" applyFont="1" applyAlignment="1"/>
    <xf numFmtId="187" fontId="18" fillId="0" borderId="6" xfId="0" applyNumberFormat="1" applyFont="1" applyBorder="1" applyAlignment="1"/>
    <xf numFmtId="0" fontId="18" fillId="2" borderId="7" xfId="0" applyFont="1" applyFill="1" applyBorder="1" applyAlignment="1">
      <alignment horizontal="center"/>
    </xf>
    <xf numFmtId="187" fontId="19" fillId="0" borderId="6" xfId="0" applyNumberFormat="1" applyFont="1" applyBorder="1" applyAlignment="1"/>
    <xf numFmtId="0" fontId="18" fillId="0" borderId="6" xfId="0" applyFont="1" applyBorder="1" applyAlignment="1"/>
    <xf numFmtId="187" fontId="9" fillId="36" borderId="8" xfId="0" applyNumberFormat="1" applyFont="1" applyFill="1" applyBorder="1" applyAlignment="1"/>
    <xf numFmtId="187" fontId="5" fillId="36" borderId="8" xfId="0" applyNumberFormat="1" applyFont="1" applyFill="1" applyBorder="1" applyAlignment="1"/>
    <xf numFmtId="0" fontId="9" fillId="36" borderId="9" xfId="0" applyFont="1" applyFill="1" applyBorder="1" applyAlignment="1">
      <alignment horizontal="center"/>
    </xf>
    <xf numFmtId="187" fontId="5" fillId="36" borderId="6" xfId="0" applyNumberFormat="1" applyFont="1" applyFill="1" applyBorder="1" applyAlignment="1"/>
    <xf numFmtId="0" fontId="9" fillId="36" borderId="7" xfId="0" applyFont="1" applyFill="1" applyBorder="1" applyAlignment="1">
      <alignment horizontal="center"/>
    </xf>
    <xf numFmtId="0" fontId="61" fillId="21" borderId="6" xfId="0" quotePrefix="1" applyFont="1" applyFill="1" applyBorder="1" applyAlignment="1"/>
    <xf numFmtId="189" fontId="9" fillId="2" borderId="7" xfId="0" applyNumberFormat="1" applyFont="1" applyFill="1" applyBorder="1" applyAlignment="1"/>
    <xf numFmtId="187" fontId="10" fillId="37" borderId="6" xfId="0" applyNumberFormat="1" applyFont="1" applyFill="1" applyBorder="1" applyAlignment="1"/>
    <xf numFmtId="0" fontId="10" fillId="37" borderId="6" xfId="0" applyFont="1" applyFill="1" applyBorder="1" applyAlignment="1"/>
    <xf numFmtId="0" fontId="10" fillId="37" borderId="7" xfId="0" applyFont="1" applyFill="1" applyBorder="1" applyAlignment="1"/>
    <xf numFmtId="0" fontId="5" fillId="37" borderId="7" xfId="0" applyFont="1" applyFill="1" applyBorder="1" applyAlignment="1"/>
    <xf numFmtId="189" fontId="5" fillId="37" borderId="7" xfId="0" applyNumberFormat="1" applyFont="1" applyFill="1" applyBorder="1" applyAlignment="1"/>
    <xf numFmtId="188" fontId="5" fillId="37" borderId="7" xfId="0" applyNumberFormat="1" applyFont="1" applyFill="1" applyBorder="1" applyAlignment="1"/>
    <xf numFmtId="187" fontId="9" fillId="38" borderId="8" xfId="0" applyNumberFormat="1" applyFont="1" applyFill="1" applyBorder="1" applyAlignment="1"/>
    <xf numFmtId="187" fontId="5" fillId="38" borderId="8" xfId="0" applyNumberFormat="1" applyFont="1" applyFill="1" applyBorder="1" applyAlignment="1"/>
    <xf numFmtId="0" fontId="5" fillId="38" borderId="8" xfId="0" applyFont="1" applyFill="1" applyBorder="1" applyAlignment="1"/>
    <xf numFmtId="0" fontId="5" fillId="38" borderId="9" xfId="0" applyFont="1" applyFill="1" applyBorder="1" applyAlignment="1"/>
    <xf numFmtId="189" fontId="5" fillId="38" borderId="9" xfId="0" applyNumberFormat="1" applyFont="1" applyFill="1" applyBorder="1" applyAlignment="1"/>
    <xf numFmtId="188" fontId="5" fillId="38" borderId="9" xfId="0" applyNumberFormat="1" applyFont="1" applyFill="1" applyBorder="1" applyAlignment="1"/>
    <xf numFmtId="0" fontId="9" fillId="39" borderId="6" xfId="0" applyFont="1" applyFill="1" applyBorder="1" applyAlignment="1"/>
    <xf numFmtId="0" fontId="5" fillId="39" borderId="6" xfId="0" applyFont="1" applyFill="1" applyBorder="1" applyAlignment="1"/>
    <xf numFmtId="0" fontId="5" fillId="39" borderId="7" xfId="0" applyFont="1" applyFill="1" applyBorder="1" applyAlignment="1"/>
    <xf numFmtId="187" fontId="9" fillId="39" borderId="7" xfId="0" applyNumberFormat="1" applyFont="1" applyFill="1" applyBorder="1" applyAlignment="1">
      <alignment horizontal="center"/>
    </xf>
    <xf numFmtId="188" fontId="9" fillId="39" borderId="7" xfId="0" applyNumberFormat="1" applyFont="1" applyFill="1" applyBorder="1" applyAlignment="1"/>
    <xf numFmtId="188" fontId="5" fillId="39" borderId="7" xfId="0" applyNumberFormat="1" applyFont="1" applyFill="1" applyBorder="1" applyAlignment="1"/>
    <xf numFmtId="0" fontId="5" fillId="2" borderId="0" xfId="0" applyFont="1" applyFill="1" applyAlignment="1"/>
    <xf numFmtId="0" fontId="9" fillId="38" borderId="8" xfId="0" applyFont="1" applyFill="1" applyBorder="1" applyAlignment="1"/>
    <xf numFmtId="0" fontId="9" fillId="38" borderId="9" xfId="0" applyFont="1" applyFill="1" applyBorder="1" applyAlignment="1">
      <alignment horizontal="center"/>
    </xf>
    <xf numFmtId="189" fontId="9" fillId="38" borderId="9" xfId="0" applyNumberFormat="1" applyFont="1" applyFill="1" applyBorder="1" applyAlignment="1"/>
    <xf numFmtId="188" fontId="9" fillId="38" borderId="9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87" fontId="9" fillId="39" borderId="6" xfId="0" applyNumberFormat="1" applyFont="1" applyFill="1" applyBorder="1" applyAlignment="1"/>
    <xf numFmtId="187" fontId="5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 wrapText="1"/>
    </xf>
    <xf numFmtId="187" fontId="9" fillId="0" borderId="6" xfId="0" applyNumberFormat="1" applyFont="1" applyBorder="1" applyAlignment="1"/>
    <xf numFmtId="191" fontId="5" fillId="10" borderId="7" xfId="0" applyNumberFormat="1" applyFont="1" applyFill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89" fontId="5" fillId="0" borderId="2" xfId="0" applyNumberFormat="1" applyFont="1" applyBorder="1" applyAlignment="1"/>
    <xf numFmtId="189" fontId="5" fillId="10" borderId="2" xfId="0" applyNumberFormat="1" applyFont="1" applyFill="1" applyBorder="1" applyAlignment="1"/>
    <xf numFmtId="188" fontId="5" fillId="0" borderId="2" xfId="0" applyNumberFormat="1" applyFont="1" applyBorder="1" applyAlignment="1"/>
    <xf numFmtId="187" fontId="5" fillId="0" borderId="6" xfId="0" quotePrefix="1" applyNumberFormat="1" applyFont="1" applyBorder="1" applyAlignment="1"/>
    <xf numFmtId="187" fontId="64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/>
    </xf>
    <xf numFmtId="189" fontId="9" fillId="39" borderId="7" xfId="0" applyNumberFormat="1" applyFont="1" applyFill="1" applyBorder="1" applyAlignment="1"/>
    <xf numFmtId="187" fontId="9" fillId="40" borderId="6" xfId="0" applyNumberFormat="1" applyFont="1" applyFill="1" applyBorder="1" applyAlignment="1"/>
    <xf numFmtId="0" fontId="5" fillId="40" borderId="6" xfId="0" applyFont="1" applyFill="1" applyBorder="1" applyAlignment="1"/>
    <xf numFmtId="0" fontId="5" fillId="40" borderId="7" xfId="0" applyFont="1" applyFill="1" applyBorder="1" applyAlignment="1"/>
    <xf numFmtId="0" fontId="9" fillId="40" borderId="7" xfId="0" applyFont="1" applyFill="1" applyBorder="1" applyAlignment="1">
      <alignment horizontal="center"/>
    </xf>
    <xf numFmtId="189" fontId="9" fillId="40" borderId="7" xfId="0" applyNumberFormat="1" applyFont="1" applyFill="1" applyBorder="1" applyAlignment="1"/>
    <xf numFmtId="188" fontId="9" fillId="40" borderId="7" xfId="0" applyNumberFormat="1" applyFont="1" applyFill="1" applyBorder="1" applyAlignment="1"/>
    <xf numFmtId="188" fontId="5" fillId="40" borderId="7" xfId="0" applyNumberFormat="1" applyFont="1" applyFill="1" applyBorder="1" applyAlignment="1"/>
    <xf numFmtId="187" fontId="5" fillId="40" borderId="6" xfId="0" applyNumberFormat="1" applyFont="1" applyFill="1" applyBorder="1" applyAlignment="1"/>
    <xf numFmtId="0" fontId="5" fillId="0" borderId="6" xfId="0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10" borderId="3" xfId="0" applyNumberFormat="1" applyFont="1" applyFill="1" applyBorder="1" applyAlignment="1"/>
    <xf numFmtId="0" fontId="9" fillId="38" borderId="4" xfId="0" applyFont="1" applyFill="1" applyBorder="1" applyAlignment="1"/>
    <xf numFmtId="0" fontId="5" fillId="38" borderId="4" xfId="0" applyFont="1" applyFill="1" applyBorder="1" applyAlignment="1"/>
    <xf numFmtId="0" fontId="5" fillId="38" borderId="5" xfId="0" applyFont="1" applyFill="1" applyBorder="1" applyAlignment="1"/>
    <xf numFmtId="0" fontId="5" fillId="38" borderId="5" xfId="0" applyFont="1" applyFill="1" applyBorder="1" applyAlignment="1">
      <alignment horizontal="center"/>
    </xf>
    <xf numFmtId="188" fontId="9" fillId="38" borderId="5" xfId="0" applyNumberFormat="1" applyFont="1" applyFill="1" applyBorder="1" applyAlignment="1"/>
    <xf numFmtId="188" fontId="5" fillId="38" borderId="5" xfId="0" applyNumberFormat="1" applyFont="1" applyFill="1" applyBorder="1" applyAlignment="1"/>
    <xf numFmtId="0" fontId="5" fillId="0" borderId="6" xfId="0" quotePrefix="1" applyFont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3" xfId="0" applyFont="1" applyBorder="1" applyAlignment="1">
      <alignment horizontal="center" wrapText="1"/>
    </xf>
    <xf numFmtId="189" fontId="5" fillId="38" borderId="5" xfId="0" applyNumberFormat="1" applyFont="1" applyFill="1" applyBorder="1" applyAlignment="1"/>
    <xf numFmtId="0" fontId="5" fillId="39" borderId="8" xfId="0" applyFont="1" applyFill="1" applyBorder="1" applyAlignment="1"/>
    <xf numFmtId="0" fontId="9" fillId="39" borderId="8" xfId="0" applyFont="1" applyFill="1" applyBorder="1" applyAlignment="1"/>
    <xf numFmtId="0" fontId="5" fillId="39" borderId="9" xfId="0" applyFont="1" applyFill="1" applyBorder="1" applyAlignment="1"/>
    <xf numFmtId="189" fontId="5" fillId="39" borderId="9" xfId="0" applyNumberFormat="1" applyFont="1" applyFill="1" applyBorder="1" applyAlignment="1"/>
    <xf numFmtId="188" fontId="5" fillId="39" borderId="9" xfId="0" applyNumberFormat="1" applyFont="1" applyFill="1" applyBorder="1" applyAlignment="1"/>
    <xf numFmtId="0" fontId="65" fillId="2" borderId="6" xfId="0" applyFont="1" applyFill="1" applyBorder="1" applyAlignment="1"/>
    <xf numFmtId="0" fontId="66" fillId="21" borderId="6" xfId="0" applyFont="1" applyFill="1" applyBorder="1" applyAlignment="1"/>
    <xf numFmtId="0" fontId="5" fillId="21" borderId="6" xfId="0" applyFont="1" applyFill="1" applyBorder="1" applyAlignment="1"/>
    <xf numFmtId="0" fontId="5" fillId="0" borderId="7" xfId="0" applyFont="1" applyBorder="1" applyAlignment="1"/>
    <xf numFmtId="0" fontId="5" fillId="2" borderId="6" xfId="0" applyFont="1" applyFill="1" applyBorder="1" applyAlignment="1"/>
    <xf numFmtId="0" fontId="5" fillId="0" borderId="7" xfId="0" applyFont="1" applyBorder="1" applyAlignment="1">
      <alignment horizontal="center"/>
    </xf>
    <xf numFmtId="187" fontId="5" fillId="2" borderId="7" xfId="0" applyNumberFormat="1" applyFont="1" applyFill="1" applyBorder="1" applyAlignment="1"/>
    <xf numFmtId="192" fontId="5" fillId="2" borderId="7" xfId="0" applyNumberFormat="1" applyFont="1" applyFill="1" applyBorder="1" applyAlignment="1"/>
    <xf numFmtId="0" fontId="9" fillId="0" borderId="7" xfId="0" applyFont="1" applyBorder="1" applyAlignment="1">
      <alignment horizontal="center"/>
    </xf>
    <xf numFmtId="187" fontId="9" fillId="2" borderId="7" xfId="0" applyNumberFormat="1" applyFont="1" applyFill="1" applyBorder="1" applyAlignment="1"/>
    <xf numFmtId="0" fontId="62" fillId="2" borderId="6" xfId="0" applyFont="1" applyFill="1" applyBorder="1" applyAlignment="1"/>
    <xf numFmtId="0" fontId="59" fillId="0" borderId="1" xfId="0" applyFont="1" applyBorder="1" applyAlignment="1"/>
    <xf numFmtId="187" fontId="5" fillId="2" borderId="3" xfId="0" applyNumberFormat="1" applyFont="1" applyFill="1" applyBorder="1" applyAlignment="1"/>
    <xf numFmtId="192" fontId="5" fillId="2" borderId="3" xfId="0" applyNumberFormat="1" applyFont="1" applyFill="1" applyBorder="1" applyAlignment="1"/>
    <xf numFmtId="0" fontId="9" fillId="38" borderId="5" xfId="0" applyFont="1" applyFill="1" applyBorder="1" applyAlignment="1">
      <alignment horizontal="center"/>
    </xf>
    <xf numFmtId="189" fontId="9" fillId="38" borderId="5" xfId="0" applyNumberFormat="1" applyFont="1" applyFill="1" applyBorder="1" applyAlignment="1"/>
    <xf numFmtId="0" fontId="9" fillId="38" borderId="6" xfId="0" applyFont="1" applyFill="1" applyBorder="1" applyAlignment="1"/>
    <xf numFmtId="0" fontId="5" fillId="38" borderId="6" xfId="0" applyFont="1" applyFill="1" applyBorder="1" applyAlignment="1"/>
    <xf numFmtId="0" fontId="5" fillId="38" borderId="7" xfId="0" applyFont="1" applyFill="1" applyBorder="1" applyAlignment="1"/>
    <xf numFmtId="0" fontId="9" fillId="38" borderId="7" xfId="0" applyFont="1" applyFill="1" applyBorder="1" applyAlignment="1">
      <alignment horizontal="center"/>
    </xf>
    <xf numFmtId="189" fontId="9" fillId="38" borderId="7" xfId="0" applyNumberFormat="1" applyFont="1" applyFill="1" applyBorder="1" applyAlignment="1"/>
    <xf numFmtId="188" fontId="9" fillId="38" borderId="7" xfId="0" applyNumberFormat="1" applyFont="1" applyFill="1" applyBorder="1" applyAlignment="1"/>
    <xf numFmtId="188" fontId="5" fillId="38" borderId="7" xfId="0" applyNumberFormat="1" applyFont="1" applyFill="1" applyBorder="1" applyAlignment="1"/>
    <xf numFmtId="187" fontId="5" fillId="0" borderId="7" xfId="0" applyNumberFormat="1" applyFont="1" applyBorder="1" applyAlignment="1"/>
    <xf numFmtId="187" fontId="64" fillId="38" borderId="6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 wrapText="1"/>
    </xf>
    <xf numFmtId="187" fontId="5" fillId="38" borderId="6" xfId="0" applyNumberFormat="1" applyFont="1" applyFill="1" applyBorder="1" applyAlignment="1"/>
    <xf numFmtId="187" fontId="5" fillId="2" borderId="17" xfId="0" applyNumberFormat="1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187" fontId="5" fillId="0" borderId="18" xfId="0" applyNumberFormat="1" applyFont="1" applyBorder="1" applyAlignment="1">
      <alignment horizontal="center" wrapText="1"/>
    </xf>
    <xf numFmtId="189" fontId="5" fillId="2" borderId="18" xfId="0" applyNumberFormat="1" applyFont="1" applyFill="1" applyBorder="1" applyAlignment="1"/>
    <xf numFmtId="188" fontId="5" fillId="2" borderId="18" xfId="0" applyNumberFormat="1" applyFont="1" applyFill="1" applyBorder="1" applyAlignment="1"/>
    <xf numFmtId="0" fontId="18" fillId="10" borderId="6" xfId="0" applyFont="1" applyFill="1" applyBorder="1" applyAlignment="1"/>
    <xf numFmtId="187" fontId="18" fillId="10" borderId="6" xfId="0" applyNumberFormat="1" applyFont="1" applyFill="1" applyBorder="1" applyAlignment="1"/>
    <xf numFmtId="0" fontId="18" fillId="10" borderId="7" xfId="0" applyFont="1" applyFill="1" applyBorder="1" applyAlignment="1"/>
    <xf numFmtId="0" fontId="19" fillId="10" borderId="7" xfId="0" applyFont="1" applyFill="1" applyBorder="1" applyAlignment="1"/>
    <xf numFmtId="189" fontId="18" fillId="10" borderId="7" xfId="0" applyNumberFormat="1" applyFont="1" applyFill="1" applyBorder="1" applyAlignment="1"/>
    <xf numFmtId="188" fontId="18" fillId="10" borderId="7" xfId="0" applyNumberFormat="1" applyFont="1" applyFill="1" applyBorder="1" applyAlignment="1"/>
    <xf numFmtId="0" fontId="18" fillId="2" borderId="6" xfId="0" applyFont="1" applyFill="1" applyBorder="1" applyAlignment="1"/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7" fillId="0" borderId="19" xfId="0" applyFont="1" applyBorder="1" applyAlignment="1"/>
    <xf numFmtId="0" fontId="68" fillId="0" borderId="20" xfId="0" applyFont="1" applyBorder="1" applyAlignment="1"/>
    <xf numFmtId="187" fontId="68" fillId="0" borderId="21" xfId="0" applyNumberFormat="1" applyFont="1" applyBorder="1" applyAlignment="1"/>
    <xf numFmtId="0" fontId="68" fillId="0" borderId="21" xfId="0" applyFont="1" applyBorder="1" applyAlignment="1"/>
    <xf numFmtId="188" fontId="68" fillId="0" borderId="21" xfId="0" applyNumberFormat="1" applyFont="1" applyBorder="1" applyAlignment="1"/>
    <xf numFmtId="192" fontId="68" fillId="0" borderId="21" xfId="0" applyNumberFormat="1" applyFont="1" applyBorder="1" applyAlignment="1"/>
    <xf numFmtId="188" fontId="68" fillId="0" borderId="0" xfId="0" applyNumberFormat="1" applyFont="1" applyAlignment="1"/>
    <xf numFmtId="0" fontId="68" fillId="0" borderId="0" xfId="0" applyFont="1" applyAlignment="1"/>
    <xf numFmtId="0" fontId="69" fillId="0" borderId="19" xfId="0" applyFont="1" applyBorder="1" applyAlignment="1"/>
    <xf numFmtId="0" fontId="68" fillId="0" borderId="19" xfId="0" applyFont="1" applyBorder="1" applyAlignment="1"/>
    <xf numFmtId="187" fontId="68" fillId="0" borderId="19" xfId="0" applyNumberFormat="1" applyFont="1" applyBorder="1" applyAlignment="1"/>
    <xf numFmtId="188" fontId="68" fillId="0" borderId="19" xfId="0" applyNumberFormat="1" applyFont="1" applyBorder="1" applyAlignment="1"/>
    <xf numFmtId="192" fontId="68" fillId="0" borderId="22" xfId="0" applyNumberFormat="1" applyFont="1" applyBorder="1" applyAlignment="1"/>
    <xf numFmtId="192" fontId="68" fillId="0" borderId="19" xfId="0" applyNumberFormat="1" applyFont="1" applyBorder="1" applyAlignment="1"/>
    <xf numFmtId="0" fontId="68" fillId="0" borderId="23" xfId="0" applyFont="1" applyBorder="1"/>
    <xf numFmtId="187" fontId="68" fillId="0" borderId="23" xfId="0" applyNumberFormat="1" applyFont="1" applyBorder="1"/>
    <xf numFmtId="189" fontId="68" fillId="0" borderId="23" xfId="0" applyNumberFormat="1" applyFont="1" applyBorder="1"/>
    <xf numFmtId="188" fontId="68" fillId="0" borderId="0" xfId="0" applyNumberFormat="1" applyFont="1"/>
    <xf numFmtId="192" fontId="68" fillId="0" borderId="0" xfId="0" applyNumberFormat="1" applyFont="1"/>
    <xf numFmtId="0" fontId="68" fillId="0" borderId="0" xfId="0" applyFont="1"/>
    <xf numFmtId="0" fontId="69" fillId="0" borderId="0" xfId="0" applyFont="1" applyAlignment="1"/>
    <xf numFmtId="187" fontId="68" fillId="0" borderId="0" xfId="0" applyNumberFormat="1" applyFont="1"/>
    <xf numFmtId="189" fontId="68" fillId="0" borderId="0" xfId="0" applyNumberFormat="1" applyFont="1"/>
    <xf numFmtId="0" fontId="70" fillId="0" borderId="0" xfId="0" applyFont="1" applyAlignment="1"/>
    <xf numFmtId="188" fontId="1" fillId="4" borderId="3" xfId="0" applyNumberFormat="1" applyFont="1" applyFill="1" applyBorder="1" applyAlignment="1">
      <alignment horizontal="center" vertical="center"/>
    </xf>
    <xf numFmtId="187" fontId="1" fillId="4" borderId="3" xfId="0" applyNumberFormat="1" applyFont="1" applyFill="1" applyBorder="1" applyAlignment="1">
      <alignment horizontal="center" vertical="center" wrapText="1"/>
    </xf>
    <xf numFmtId="188" fontId="1" fillId="5" borderId="3" xfId="0" applyNumberFormat="1" applyFont="1" applyFill="1" applyBorder="1" applyAlignment="1">
      <alignment horizontal="center" vertical="center" wrapText="1"/>
    </xf>
    <xf numFmtId="188" fontId="1" fillId="7" borderId="3" xfId="0" applyNumberFormat="1" applyFont="1" applyFill="1" applyBorder="1" applyAlignment="1">
      <alignment horizontal="center" vertical="center" wrapText="1"/>
    </xf>
    <xf numFmtId="188" fontId="1" fillId="6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87" fontId="2" fillId="2" borderId="0" xfId="0" applyNumberFormat="1" applyFont="1" applyFill="1" applyBorder="1" applyAlignment="1"/>
    <xf numFmtId="188" fontId="2" fillId="2" borderId="0" xfId="0" applyNumberFormat="1" applyFont="1" applyFill="1" applyBorder="1" applyAlignment="1"/>
    <xf numFmtId="188" fontId="1" fillId="7" borderId="31" xfId="0" applyNumberFormat="1" applyFont="1" applyFill="1" applyBorder="1" applyAlignment="1">
      <alignment horizontal="center" vertical="center" wrapText="1"/>
    </xf>
    <xf numFmtId="188" fontId="5" fillId="8" borderId="31" xfId="0" applyNumberFormat="1" applyFont="1" applyFill="1" applyBorder="1" applyAlignment="1"/>
    <xf numFmtId="0" fontId="7" fillId="9" borderId="32" xfId="0" applyFont="1" applyFill="1" applyBorder="1" applyAlignment="1"/>
    <xf numFmtId="188" fontId="9" fillId="9" borderId="33" xfId="0" applyNumberFormat="1" applyFont="1" applyFill="1" applyBorder="1" applyAlignment="1"/>
    <xf numFmtId="0" fontId="10" fillId="9" borderId="34" xfId="0" applyFont="1" applyFill="1" applyBorder="1" applyAlignment="1"/>
    <xf numFmtId="188" fontId="5" fillId="9" borderId="35" xfId="0" applyNumberFormat="1" applyFont="1" applyFill="1" applyBorder="1" applyAlignment="1"/>
    <xf numFmtId="0" fontId="7" fillId="2" borderId="34" xfId="0" applyFont="1" applyFill="1" applyBorder="1" applyAlignment="1"/>
    <xf numFmtId="188" fontId="9" fillId="2" borderId="35" xfId="0" applyNumberFormat="1" applyFont="1" applyFill="1" applyBorder="1" applyAlignment="1"/>
    <xf numFmtId="0" fontId="10" fillId="2" borderId="34" xfId="0" applyFont="1" applyFill="1" applyBorder="1" applyAlignment="1"/>
    <xf numFmtId="188" fontId="5" fillId="2" borderId="35" xfId="0" applyNumberFormat="1" applyFont="1" applyFill="1" applyBorder="1" applyAlignment="1"/>
    <xf numFmtId="0" fontId="10" fillId="2" borderId="30" xfId="0" applyFont="1" applyFill="1" applyBorder="1" applyAlignment="1"/>
    <xf numFmtId="188" fontId="5" fillId="2" borderId="31" xfId="0" applyNumberFormat="1" applyFont="1" applyFill="1" applyBorder="1" applyAlignment="1"/>
    <xf numFmtId="0" fontId="4" fillId="10" borderId="30" xfId="0" applyFont="1" applyFill="1" applyBorder="1" applyAlignment="1"/>
    <xf numFmtId="188" fontId="9" fillId="10" borderId="31" xfId="0" applyNumberFormat="1" applyFont="1" applyFill="1" applyBorder="1" applyAlignment="1"/>
    <xf numFmtId="0" fontId="4" fillId="11" borderId="30" xfId="0" applyFont="1" applyFill="1" applyBorder="1" applyAlignment="1"/>
    <xf numFmtId="188" fontId="5" fillId="11" borderId="31" xfId="0" applyNumberFormat="1" applyFont="1" applyFill="1" applyBorder="1" applyAlignment="1"/>
    <xf numFmtId="0" fontId="10" fillId="12" borderId="34" xfId="0" applyFont="1" applyFill="1" applyBorder="1" applyAlignment="1"/>
    <xf numFmtId="188" fontId="5" fillId="12" borderId="35" xfId="0" applyNumberFormat="1" applyFont="1" applyFill="1" applyBorder="1" applyAlignment="1"/>
    <xf numFmtId="0" fontId="10" fillId="13" borderId="34" xfId="0" applyFont="1" applyFill="1" applyBorder="1" applyAlignment="1"/>
    <xf numFmtId="188" fontId="5" fillId="13" borderId="35" xfId="0" applyNumberFormat="1" applyFont="1" applyFill="1" applyBorder="1" applyAlignment="1"/>
    <xf numFmtId="0" fontId="7" fillId="14" borderId="36" xfId="0" applyFont="1" applyFill="1" applyBorder="1" applyAlignment="1"/>
    <xf numFmtId="188" fontId="9" fillId="14" borderId="37" xfId="0" applyNumberFormat="1" applyFont="1" applyFill="1" applyBorder="1" applyAlignment="1"/>
    <xf numFmtId="0" fontId="10" fillId="14" borderId="34" xfId="0" applyFont="1" applyFill="1" applyBorder="1" applyAlignment="1"/>
    <xf numFmtId="188" fontId="5" fillId="14" borderId="35" xfId="0" applyNumberFormat="1" applyFont="1" applyFill="1" applyBorder="1" applyAlignment="1"/>
    <xf numFmtId="188" fontId="5" fillId="15" borderId="31" xfId="0" applyNumberFormat="1" applyFont="1" applyFill="1" applyBorder="1" applyAlignment="1"/>
    <xf numFmtId="0" fontId="10" fillId="16" borderId="34" xfId="0" applyFont="1" applyFill="1" applyBorder="1" applyAlignment="1"/>
    <xf numFmtId="188" fontId="5" fillId="16" borderId="35" xfId="0" applyNumberFormat="1" applyFont="1" applyFill="1" applyBorder="1" applyAlignment="1"/>
    <xf numFmtId="0" fontId="10" fillId="17" borderId="34" xfId="0" applyFont="1" applyFill="1" applyBorder="1" applyAlignment="1"/>
    <xf numFmtId="188" fontId="5" fillId="17" borderId="35" xfId="0" applyNumberFormat="1" applyFont="1" applyFill="1" applyBorder="1" applyAlignment="1"/>
    <xf numFmtId="0" fontId="7" fillId="18" borderId="36" xfId="0" applyFont="1" applyFill="1" applyBorder="1" applyAlignment="1"/>
    <xf numFmtId="188" fontId="9" fillId="18" borderId="37" xfId="0" applyNumberFormat="1" applyFont="1" applyFill="1" applyBorder="1" applyAlignment="1"/>
    <xf numFmtId="0" fontId="10" fillId="18" borderId="34" xfId="0" applyFont="1" applyFill="1" applyBorder="1" applyAlignment="1"/>
    <xf numFmtId="188" fontId="5" fillId="18" borderId="35" xfId="0" applyNumberFormat="1" applyFont="1" applyFill="1" applyBorder="1" applyAlignment="1"/>
    <xf numFmtId="187" fontId="4" fillId="19" borderId="30" xfId="0" applyNumberFormat="1" applyFont="1" applyFill="1" applyBorder="1" applyAlignment="1"/>
    <xf numFmtId="188" fontId="5" fillId="19" borderId="31" xfId="0" applyNumberFormat="1" applyFont="1" applyFill="1" applyBorder="1" applyAlignment="1"/>
    <xf numFmtId="187" fontId="4" fillId="20" borderId="34" xfId="0" applyNumberFormat="1" applyFont="1" applyFill="1" applyBorder="1" applyAlignment="1"/>
    <xf numFmtId="188" fontId="5" fillId="20" borderId="35" xfId="0" applyNumberFormat="1" applyFont="1" applyFill="1" applyBorder="1" applyAlignment="1"/>
    <xf numFmtId="190" fontId="10" fillId="9" borderId="34" xfId="0" applyNumberFormat="1" applyFont="1" applyFill="1" applyBorder="1" applyAlignment="1"/>
    <xf numFmtId="190" fontId="10" fillId="2" borderId="36" xfId="0" applyNumberFormat="1" applyFont="1" applyFill="1" applyBorder="1" applyAlignment="1"/>
    <xf numFmtId="188" fontId="9" fillId="2" borderId="37" xfId="0" applyNumberFormat="1" applyFont="1" applyFill="1" applyBorder="1" applyAlignment="1"/>
    <xf numFmtId="190" fontId="10" fillId="2" borderId="34" xfId="0" applyNumberFormat="1" applyFont="1" applyFill="1" applyBorder="1" applyAlignment="1"/>
    <xf numFmtId="190" fontId="7" fillId="2" borderId="34" xfId="0" applyNumberFormat="1" applyFont="1" applyFill="1" applyBorder="1" applyAlignment="1"/>
    <xf numFmtId="187" fontId="10" fillId="0" borderId="34" xfId="0" applyNumberFormat="1" applyFont="1" applyBorder="1" applyAlignment="1"/>
    <xf numFmtId="188" fontId="5" fillId="0" borderId="35" xfId="0" applyNumberFormat="1" applyFont="1" applyBorder="1" applyAlignment="1"/>
    <xf numFmtId="187" fontId="1" fillId="20" borderId="34" xfId="0" applyNumberFormat="1" applyFont="1" applyFill="1" applyBorder="1" applyAlignment="1"/>
    <xf numFmtId="188" fontId="18" fillId="20" borderId="35" xfId="0" applyNumberFormat="1" applyFont="1" applyFill="1" applyBorder="1" applyAlignment="1"/>
    <xf numFmtId="190" fontId="2" fillId="9" borderId="34" xfId="0" applyNumberFormat="1" applyFont="1" applyFill="1" applyBorder="1" applyAlignment="1"/>
    <xf numFmtId="188" fontId="18" fillId="9" borderId="35" xfId="0" applyNumberFormat="1" applyFont="1" applyFill="1" applyBorder="1" applyAlignment="1"/>
    <xf numFmtId="187" fontId="2" fillId="0" borderId="34" xfId="0" applyNumberFormat="1" applyFont="1" applyBorder="1" applyAlignment="1"/>
    <xf numFmtId="188" fontId="18" fillId="0" borderId="35" xfId="0" applyNumberFormat="1" applyFont="1" applyBorder="1" applyAlignment="1"/>
    <xf numFmtId="190" fontId="7" fillId="9" borderId="34" xfId="0" applyNumberFormat="1" applyFont="1" applyFill="1" applyBorder="1" applyAlignment="1"/>
    <xf numFmtId="188" fontId="9" fillId="9" borderId="35" xfId="0" applyNumberFormat="1" applyFont="1" applyFill="1" applyBorder="1" applyAlignment="1"/>
    <xf numFmtId="190" fontId="10" fillId="2" borderId="38" xfId="0" applyNumberFormat="1" applyFont="1" applyFill="1" applyBorder="1" applyAlignment="1"/>
    <xf numFmtId="188" fontId="5" fillId="2" borderId="39" xfId="0" applyNumberFormat="1" applyFont="1" applyFill="1" applyBorder="1" applyAlignment="1"/>
    <xf numFmtId="187" fontId="4" fillId="7" borderId="30" xfId="0" applyNumberFormat="1" applyFont="1" applyFill="1" applyBorder="1" applyAlignment="1"/>
    <xf numFmtId="188" fontId="5" fillId="7" borderId="31" xfId="0" applyNumberFormat="1" applyFont="1" applyFill="1" applyBorder="1" applyAlignment="1"/>
    <xf numFmtId="187" fontId="4" fillId="22" borderId="34" xfId="0" applyNumberFormat="1" applyFont="1" applyFill="1" applyBorder="1" applyAlignment="1"/>
    <xf numFmtId="188" fontId="5" fillId="22" borderId="35" xfId="0" applyNumberFormat="1" applyFont="1" applyFill="1" applyBorder="1" applyAlignment="1"/>
    <xf numFmtId="187" fontId="10" fillId="21" borderId="34" xfId="0" applyNumberFormat="1" applyFont="1" applyFill="1" applyBorder="1" applyAlignment="1"/>
    <xf numFmtId="188" fontId="5" fillId="21" borderId="35" xfId="0" applyNumberFormat="1" applyFont="1" applyFill="1" applyBorder="1" applyAlignment="1"/>
    <xf numFmtId="190" fontId="7" fillId="2" borderId="36" xfId="0" applyNumberFormat="1" applyFont="1" applyFill="1" applyBorder="1" applyAlignment="1"/>
    <xf numFmtId="187" fontId="10" fillId="23" borderId="34" xfId="0" applyNumberFormat="1" applyFont="1" applyFill="1" applyBorder="1" applyAlignment="1"/>
    <xf numFmtId="188" fontId="5" fillId="23" borderId="35" xfId="0" applyNumberFormat="1" applyFont="1" applyFill="1" applyBorder="1" applyAlignment="1"/>
    <xf numFmtId="187" fontId="10" fillId="2" borderId="34" xfId="0" applyNumberFormat="1" applyFont="1" applyFill="1" applyBorder="1" applyAlignment="1"/>
    <xf numFmtId="187" fontId="29" fillId="23" borderId="34" xfId="0" applyNumberFormat="1" applyFont="1" applyFill="1" applyBorder="1" applyAlignment="1"/>
    <xf numFmtId="188" fontId="31" fillId="23" borderId="35" xfId="0" applyNumberFormat="1" applyFont="1" applyFill="1" applyBorder="1" applyAlignment="1"/>
    <xf numFmtId="190" fontId="29" fillId="2" borderId="36" xfId="0" applyNumberFormat="1" applyFont="1" applyFill="1" applyBorder="1" applyAlignment="1"/>
    <xf numFmtId="188" fontId="30" fillId="2" borderId="37" xfId="0" applyNumberFormat="1" applyFont="1" applyFill="1" applyBorder="1" applyAlignment="1"/>
    <xf numFmtId="190" fontId="29" fillId="2" borderId="34" xfId="0" applyNumberFormat="1" applyFont="1" applyFill="1" applyBorder="1" applyAlignment="1"/>
    <xf numFmtId="188" fontId="31" fillId="2" borderId="35" xfId="0" applyNumberFormat="1" applyFont="1" applyFill="1" applyBorder="1" applyAlignment="1"/>
    <xf numFmtId="187" fontId="29" fillId="2" borderId="34" xfId="0" applyNumberFormat="1" applyFont="1" applyFill="1" applyBorder="1" applyAlignment="1"/>
    <xf numFmtId="187" fontId="29" fillId="0" borderId="34" xfId="0" applyNumberFormat="1" applyFont="1" applyBorder="1" applyAlignment="1"/>
    <xf numFmtId="188" fontId="31" fillId="0" borderId="35" xfId="0" applyNumberFormat="1" applyFont="1" applyBorder="1" applyAlignment="1"/>
    <xf numFmtId="187" fontId="10" fillId="0" borderId="30" xfId="0" applyNumberFormat="1" applyFont="1" applyBorder="1" applyAlignment="1"/>
    <xf numFmtId="188" fontId="5" fillId="0" borderId="31" xfId="0" applyNumberFormat="1" applyFont="1" applyBorder="1" applyAlignment="1"/>
    <xf numFmtId="187" fontId="4" fillId="24" borderId="30" xfId="0" applyNumberFormat="1" applyFont="1" applyFill="1" applyBorder="1" applyAlignment="1"/>
    <xf numFmtId="188" fontId="5" fillId="24" borderId="31" xfId="0" applyNumberFormat="1" applyFont="1" applyFill="1" applyBorder="1" applyAlignment="1"/>
    <xf numFmtId="187" fontId="4" fillId="25" borderId="34" xfId="0" applyNumberFormat="1" applyFont="1" applyFill="1" applyBorder="1" applyAlignment="1"/>
    <xf numFmtId="188" fontId="5" fillId="25" borderId="35" xfId="0" applyNumberFormat="1" applyFont="1" applyFill="1" applyBorder="1" applyAlignment="1"/>
    <xf numFmtId="190" fontId="10" fillId="26" borderId="34" xfId="0" applyNumberFormat="1" applyFont="1" applyFill="1" applyBorder="1" applyAlignment="1"/>
    <xf numFmtId="188" fontId="5" fillId="26" borderId="35" xfId="0" applyNumberFormat="1" applyFont="1" applyFill="1" applyBorder="1" applyAlignment="1"/>
    <xf numFmtId="187" fontId="2" fillId="0" borderId="36" xfId="0" applyNumberFormat="1" applyFont="1" applyBorder="1" applyAlignment="1"/>
    <xf numFmtId="188" fontId="18" fillId="0" borderId="37" xfId="0" applyNumberFormat="1" applyFont="1" applyBorder="1" applyAlignment="1"/>
    <xf numFmtId="187" fontId="2" fillId="0" borderId="30" xfId="0" applyNumberFormat="1" applyFont="1" applyBorder="1" applyAlignment="1"/>
    <xf numFmtId="188" fontId="18" fillId="0" borderId="31" xfId="0" applyNumberFormat="1" applyFont="1" applyBorder="1" applyAlignment="1"/>
    <xf numFmtId="187" fontId="1" fillId="27" borderId="30" xfId="0" applyNumberFormat="1" applyFont="1" applyFill="1" applyBorder="1" applyAlignment="1"/>
    <xf numFmtId="188" fontId="18" fillId="27" borderId="31" xfId="0" applyNumberFormat="1" applyFont="1" applyFill="1" applyBorder="1" applyAlignment="1"/>
    <xf numFmtId="187" fontId="1" fillId="28" borderId="34" xfId="0" applyNumberFormat="1" applyFont="1" applyFill="1" applyBorder="1" applyAlignment="1"/>
    <xf numFmtId="188" fontId="18" fillId="28" borderId="35" xfId="0" applyNumberFormat="1" applyFont="1" applyFill="1" applyBorder="1" applyAlignment="1"/>
    <xf numFmtId="187" fontId="10" fillId="29" borderId="34" xfId="0" applyNumberFormat="1" applyFont="1" applyFill="1" applyBorder="1" applyAlignment="1"/>
    <xf numFmtId="188" fontId="5" fillId="29" borderId="35" xfId="0" applyNumberFormat="1" applyFont="1" applyFill="1" applyBorder="1" applyAlignment="1"/>
    <xf numFmtId="187" fontId="4" fillId="28" borderId="34" xfId="0" applyNumberFormat="1" applyFont="1" applyFill="1" applyBorder="1" applyAlignment="1"/>
    <xf numFmtId="188" fontId="5" fillId="28" borderId="35" xfId="0" applyNumberFormat="1" applyFont="1" applyFill="1" applyBorder="1" applyAlignment="1"/>
    <xf numFmtId="190" fontId="10" fillId="29" borderId="34" xfId="0" applyNumberFormat="1" applyFont="1" applyFill="1" applyBorder="1" applyAlignment="1"/>
    <xf numFmtId="187" fontId="2" fillId="23" borderId="34" xfId="0" applyNumberFormat="1" applyFont="1" applyFill="1" applyBorder="1" applyAlignment="1"/>
    <xf numFmtId="188" fontId="18" fillId="23" borderId="35" xfId="0" applyNumberFormat="1" applyFont="1" applyFill="1" applyBorder="1" applyAlignment="1"/>
    <xf numFmtId="187" fontId="2" fillId="8" borderId="34" xfId="0" applyNumberFormat="1" applyFont="1" applyFill="1" applyBorder="1" applyAlignment="1"/>
    <xf numFmtId="188" fontId="18" fillId="8" borderId="35" xfId="0" applyNumberFormat="1" applyFont="1" applyFill="1" applyBorder="1" applyAlignment="1"/>
    <xf numFmtId="187" fontId="41" fillId="0" borderId="34" xfId="0" applyNumberFormat="1" applyFont="1" applyBorder="1" applyAlignment="1"/>
    <xf numFmtId="187" fontId="42" fillId="8" borderId="34" xfId="0" applyNumberFormat="1" applyFont="1" applyFill="1" applyBorder="1" applyAlignment="1"/>
    <xf numFmtId="188" fontId="46" fillId="8" borderId="35" xfId="0" applyNumberFormat="1" applyFont="1" applyFill="1" applyBorder="1" applyAlignment="1"/>
    <xf numFmtId="187" fontId="42" fillId="30" borderId="34" xfId="0" applyNumberFormat="1" applyFont="1" applyFill="1" applyBorder="1" applyAlignment="1"/>
    <xf numFmtId="188" fontId="46" fillId="30" borderId="35" xfId="0" applyNumberFormat="1" applyFont="1" applyFill="1" applyBorder="1" applyAlignment="1"/>
    <xf numFmtId="187" fontId="1" fillId="31" borderId="30" xfId="0" applyNumberFormat="1" applyFont="1" applyFill="1" applyBorder="1" applyAlignment="1"/>
    <xf numFmtId="188" fontId="18" fillId="31" borderId="31" xfId="0" applyNumberFormat="1" applyFont="1" applyFill="1" applyBorder="1" applyAlignment="1"/>
    <xf numFmtId="187" fontId="1" fillId="32" borderId="34" xfId="0" applyNumberFormat="1" applyFont="1" applyFill="1" applyBorder="1" applyAlignment="1"/>
    <xf numFmtId="188" fontId="18" fillId="32" borderId="35" xfId="0" applyNumberFormat="1" applyFont="1" applyFill="1" applyBorder="1" applyAlignment="1"/>
    <xf numFmtId="187" fontId="2" fillId="33" borderId="34" xfId="0" applyNumberFormat="1" applyFont="1" applyFill="1" applyBorder="1" applyAlignment="1"/>
    <xf numFmtId="188" fontId="18" fillId="33" borderId="35" xfId="0" applyNumberFormat="1" applyFont="1" applyFill="1" applyBorder="1" applyAlignment="1"/>
    <xf numFmtId="190" fontId="2" fillId="2" borderId="36" xfId="0" applyNumberFormat="1" applyFont="1" applyFill="1" applyBorder="1" applyAlignment="1"/>
    <xf numFmtId="188" fontId="19" fillId="2" borderId="37" xfId="0" applyNumberFormat="1" applyFont="1" applyFill="1" applyBorder="1" applyAlignment="1"/>
    <xf numFmtId="187" fontId="10" fillId="2" borderId="36" xfId="0" applyNumberFormat="1" applyFont="1" applyFill="1" applyBorder="1" applyAlignment="1"/>
    <xf numFmtId="188" fontId="10" fillId="2" borderId="37" xfId="0" applyNumberFormat="1" applyFont="1" applyFill="1" applyBorder="1" applyAlignment="1"/>
    <xf numFmtId="187" fontId="10" fillId="33" borderId="34" xfId="0" applyNumberFormat="1" applyFont="1" applyFill="1" applyBorder="1" applyAlignment="1"/>
    <xf numFmtId="188" fontId="5" fillId="33" borderId="35" xfId="0" applyNumberFormat="1" applyFont="1" applyFill="1" applyBorder="1" applyAlignment="1"/>
    <xf numFmtId="0" fontId="53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0" fillId="0" borderId="40" xfId="0" applyNumberFormat="1" applyFont="1" applyBorder="1" applyAlignment="1"/>
    <xf numFmtId="188" fontId="5" fillId="0" borderId="41" xfId="0" applyNumberFormat="1" applyFont="1" applyBorder="1" applyAlignment="1"/>
    <xf numFmtId="0" fontId="1" fillId="34" borderId="34" xfId="0" applyFont="1" applyFill="1" applyBorder="1" applyAlignment="1"/>
    <xf numFmtId="188" fontId="19" fillId="34" borderId="35" xfId="0" applyNumberFormat="1" applyFont="1" applyFill="1" applyBorder="1" applyAlignment="1"/>
    <xf numFmtId="0" fontId="1" fillId="35" borderId="34" xfId="0" applyFont="1" applyFill="1" applyBorder="1" applyAlignment="1"/>
    <xf numFmtId="188" fontId="18" fillId="35" borderId="35" xfId="0" applyNumberFormat="1" applyFont="1" applyFill="1" applyBorder="1" applyAlignment="1"/>
    <xf numFmtId="187" fontId="1" fillId="36" borderId="34" xfId="0" applyNumberFormat="1" applyFont="1" applyFill="1" applyBorder="1" applyAlignment="1">
      <alignment wrapText="1"/>
    </xf>
    <xf numFmtId="188" fontId="18" fillId="36" borderId="35" xfId="0" applyNumberFormat="1" applyFont="1" applyFill="1" applyBorder="1" applyAlignment="1"/>
    <xf numFmtId="0" fontId="2" fillId="36" borderId="34" xfId="0" applyFont="1" applyFill="1" applyBorder="1" applyAlignment="1"/>
    <xf numFmtId="187" fontId="5" fillId="2" borderId="34" xfId="0" applyNumberFormat="1" applyFont="1" applyFill="1" applyBorder="1" applyAlignment="1"/>
    <xf numFmtId="187" fontId="10" fillId="0" borderId="36" xfId="0" applyNumberFormat="1" applyFont="1" applyBorder="1" applyAlignment="1"/>
    <xf numFmtId="188" fontId="5" fillId="2" borderId="37" xfId="0" applyNumberFormat="1" applyFont="1" applyFill="1" applyBorder="1" applyAlignment="1"/>
    <xf numFmtId="187" fontId="9" fillId="36" borderId="36" xfId="0" applyNumberFormat="1" applyFont="1" applyFill="1" applyBorder="1" applyAlignment="1">
      <alignment horizontal="right"/>
    </xf>
    <xf numFmtId="188" fontId="5" fillId="36" borderId="37" xfId="0" applyNumberFormat="1" applyFont="1" applyFill="1" applyBorder="1" applyAlignment="1"/>
    <xf numFmtId="0" fontId="5" fillId="36" borderId="34" xfId="0" applyFont="1" applyFill="1" applyBorder="1" applyAlignment="1"/>
    <xf numFmtId="188" fontId="5" fillId="36" borderId="35" xfId="0" applyNumberFormat="1" applyFont="1" applyFill="1" applyBorder="1" applyAlignment="1"/>
    <xf numFmtId="190" fontId="5" fillId="2" borderId="34" xfId="0" applyNumberFormat="1" applyFont="1" applyFill="1" applyBorder="1" applyAlignment="1"/>
    <xf numFmtId="190" fontId="9" fillId="2" borderId="34" xfId="0" applyNumberFormat="1" applyFont="1" applyFill="1" applyBorder="1" applyAlignment="1"/>
    <xf numFmtId="187" fontId="5" fillId="0" borderId="34" xfId="0" applyNumberFormat="1" applyFont="1" applyBorder="1" applyAlignment="1"/>
    <xf numFmtId="187" fontId="18" fillId="0" borderId="34" xfId="0" applyNumberFormat="1" applyFont="1" applyBorder="1" applyAlignment="1"/>
    <xf numFmtId="188" fontId="18" fillId="2" borderId="35" xfId="0" applyNumberFormat="1" applyFont="1" applyFill="1" applyBorder="1" applyAlignment="1"/>
    <xf numFmtId="0" fontId="4" fillId="37" borderId="34" xfId="0" applyFont="1" applyFill="1" applyBorder="1" applyAlignment="1"/>
    <xf numFmtId="188" fontId="5" fillId="37" borderId="35" xfId="0" applyNumberFormat="1" applyFont="1" applyFill="1" applyBorder="1" applyAlignment="1"/>
    <xf numFmtId="187" fontId="9" fillId="38" borderId="36" xfId="0" applyNumberFormat="1" applyFont="1" applyFill="1" applyBorder="1" applyAlignment="1">
      <alignment horizontal="right"/>
    </xf>
    <xf numFmtId="188" fontId="5" fillId="38" borderId="37" xfId="0" applyNumberFormat="1" applyFont="1" applyFill="1" applyBorder="1" applyAlignment="1"/>
    <xf numFmtId="190" fontId="5" fillId="39" borderId="34" xfId="0" applyNumberFormat="1" applyFont="1" applyFill="1" applyBorder="1" applyAlignment="1"/>
    <xf numFmtId="188" fontId="5" fillId="39" borderId="35" xfId="0" applyNumberFormat="1" applyFont="1" applyFill="1" applyBorder="1" applyAlignment="1"/>
    <xf numFmtId="190" fontId="5" fillId="2" borderId="36" xfId="0" applyNumberFormat="1" applyFont="1" applyFill="1" applyBorder="1" applyAlignment="1"/>
    <xf numFmtId="187" fontId="5" fillId="39" borderId="34" xfId="0" applyNumberFormat="1" applyFont="1" applyFill="1" applyBorder="1" applyAlignment="1"/>
    <xf numFmtId="187" fontId="5" fillId="0" borderId="42" xfId="0" applyNumberFormat="1" applyFont="1" applyBorder="1" applyAlignment="1"/>
    <xf numFmtId="187" fontId="5" fillId="0" borderId="0" xfId="0" applyNumberFormat="1" applyFont="1" applyBorder="1" applyAlignment="1"/>
    <xf numFmtId="0" fontId="5" fillId="0" borderId="0" xfId="0" applyFont="1" applyBorder="1" applyAlignment="1"/>
    <xf numFmtId="188" fontId="5" fillId="0" borderId="43" xfId="0" applyNumberFormat="1" applyFont="1" applyBorder="1" applyAlignment="1"/>
    <xf numFmtId="187" fontId="5" fillId="40" borderId="34" xfId="0" applyNumberFormat="1" applyFont="1" applyFill="1" applyBorder="1" applyAlignment="1"/>
    <xf numFmtId="188" fontId="5" fillId="40" borderId="35" xfId="0" applyNumberFormat="1" applyFont="1" applyFill="1" applyBorder="1" applyAlignment="1"/>
    <xf numFmtId="187" fontId="5" fillId="0" borderId="30" xfId="0" applyNumberFormat="1" applyFont="1" applyBorder="1" applyAlignment="1"/>
    <xf numFmtId="187" fontId="9" fillId="38" borderId="32" xfId="0" applyNumberFormat="1" applyFont="1" applyFill="1" applyBorder="1" applyAlignment="1">
      <alignment horizontal="right"/>
    </xf>
    <xf numFmtId="188" fontId="5" fillId="38" borderId="33" xfId="0" applyNumberFormat="1" applyFont="1" applyFill="1" applyBorder="1" applyAlignment="1"/>
    <xf numFmtId="0" fontId="5" fillId="2" borderId="34" xfId="0" applyFont="1" applyFill="1" applyBorder="1" applyAlignment="1"/>
    <xf numFmtId="0" fontId="5" fillId="2" borderId="30" xfId="0" applyFont="1" applyFill="1" applyBorder="1" applyAlignment="1"/>
    <xf numFmtId="0" fontId="9" fillId="38" borderId="32" xfId="0" applyFont="1" applyFill="1" applyBorder="1" applyAlignment="1">
      <alignment horizontal="right"/>
    </xf>
    <xf numFmtId="0" fontId="5" fillId="39" borderId="34" xfId="0" applyFont="1" applyFill="1" applyBorder="1" applyAlignment="1"/>
    <xf numFmtId="0" fontId="5" fillId="39" borderId="36" xfId="0" applyFont="1" applyFill="1" applyBorder="1" applyAlignment="1"/>
    <xf numFmtId="188" fontId="5" fillId="39" borderId="37" xfId="0" applyNumberFormat="1" applyFont="1" applyFill="1" applyBorder="1" applyAlignment="1"/>
    <xf numFmtId="0" fontId="5" fillId="0" borderId="30" xfId="0" applyFont="1" applyBorder="1" applyAlignment="1"/>
    <xf numFmtId="0" fontId="9" fillId="38" borderId="36" xfId="0" applyFont="1" applyFill="1" applyBorder="1" applyAlignment="1">
      <alignment horizontal="right"/>
    </xf>
    <xf numFmtId="0" fontId="9" fillId="38" borderId="34" xfId="0" applyFont="1" applyFill="1" applyBorder="1" applyAlignment="1">
      <alignment horizontal="right"/>
    </xf>
    <xf numFmtId="188" fontId="5" fillId="38" borderId="35" xfId="0" applyNumberFormat="1" applyFont="1" applyFill="1" applyBorder="1" applyAlignment="1"/>
    <xf numFmtId="187" fontId="5" fillId="2" borderId="44" xfId="0" applyNumberFormat="1" applyFont="1" applyFill="1" applyBorder="1" applyAlignment="1"/>
    <xf numFmtId="188" fontId="5" fillId="2" borderId="45" xfId="0" applyNumberFormat="1" applyFont="1" applyFill="1" applyBorder="1" applyAlignment="1"/>
    <xf numFmtId="0" fontId="19" fillId="10" borderId="34" xfId="0" applyFont="1" applyFill="1" applyBorder="1" applyAlignment="1"/>
    <xf numFmtId="188" fontId="18" fillId="10" borderId="35" xfId="0" applyNumberFormat="1" applyFont="1" applyFill="1" applyBorder="1" applyAlignment="1"/>
    <xf numFmtId="0" fontId="18" fillId="2" borderId="34" xfId="0" applyFont="1" applyFill="1" applyBorder="1" applyAlignment="1"/>
    <xf numFmtId="0" fontId="18" fillId="2" borderId="46" xfId="0" applyFont="1" applyFill="1" applyBorder="1" applyAlignment="1"/>
    <xf numFmtId="0" fontId="18" fillId="2" borderId="47" xfId="0" applyFont="1" applyFill="1" applyBorder="1" applyAlignment="1"/>
    <xf numFmtId="187" fontId="18" fillId="2" borderId="47" xfId="0" applyNumberFormat="1" applyFont="1" applyFill="1" applyBorder="1" applyAlignment="1"/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189" fontId="18" fillId="2" borderId="48" xfId="0" applyNumberFormat="1" applyFont="1" applyFill="1" applyBorder="1" applyAlignment="1"/>
    <xf numFmtId="188" fontId="18" fillId="2" borderId="48" xfId="0" applyNumberFormat="1" applyFont="1" applyFill="1" applyBorder="1" applyAlignment="1"/>
    <xf numFmtId="188" fontId="18" fillId="2" borderId="49" xfId="0" applyNumberFormat="1" applyFont="1" applyFill="1" applyBorder="1" applyAlignment="1"/>
    <xf numFmtId="0" fontId="4" fillId="9" borderId="4" xfId="0" applyFont="1" applyFill="1" applyBorder="1" applyAlignment="1">
      <alignment horizontal="center"/>
    </xf>
    <xf numFmtId="0" fontId="4" fillId="14" borderId="8" xfId="0" applyFont="1" applyFill="1" applyBorder="1" applyAlignment="1">
      <alignment horizontal="center"/>
    </xf>
    <xf numFmtId="0" fontId="4" fillId="18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4" fillId="2" borderId="6" xfId="0" applyFont="1" applyFill="1" applyBorder="1" applyAlignment="1">
      <alignment horizontal="center"/>
    </xf>
    <xf numFmtId="0" fontId="75" fillId="0" borderId="6" xfId="0" applyFont="1" applyBorder="1" applyAlignment="1">
      <alignment horizontal="center"/>
    </xf>
    <xf numFmtId="0" fontId="74" fillId="2" borderId="8" xfId="0" applyFont="1" applyFill="1" applyBorder="1" applyAlignment="1">
      <alignment horizontal="center"/>
    </xf>
    <xf numFmtId="0" fontId="56" fillId="2" borderId="6" xfId="0" applyFont="1" applyFill="1" applyBorder="1" applyAlignment="1"/>
    <xf numFmtId="0" fontId="3" fillId="0" borderId="6" xfId="0" applyFont="1" applyBorder="1"/>
    <xf numFmtId="0" fontId="63" fillId="2" borderId="8" xfId="0" applyFont="1" applyFill="1" applyBorder="1" applyAlignment="1"/>
    <xf numFmtId="0" fontId="3" fillId="0" borderId="8" xfId="0" applyFont="1" applyBorder="1"/>
    <xf numFmtId="0" fontId="4" fillId="16" borderId="6" xfId="0" applyFont="1" applyFill="1" applyBorder="1" applyAlignment="1"/>
    <xf numFmtId="0" fontId="3" fillId="0" borderId="7" xfId="0" applyFont="1" applyBorder="1"/>
    <xf numFmtId="0" fontId="54" fillId="2" borderId="8" xfId="0" applyFont="1" applyFill="1" applyBorder="1" applyAlignment="1"/>
    <xf numFmtId="0" fontId="4" fillId="8" borderId="30" xfId="0" applyFont="1" applyFill="1" applyBorder="1" applyAlignment="1"/>
    <xf numFmtId="0" fontId="3" fillId="0" borderId="1" xfId="0" applyFont="1" applyBorder="1"/>
    <xf numFmtId="0" fontId="3" fillId="0" borderId="3" xfId="0" applyFont="1" applyBorder="1"/>
    <xf numFmtId="0" fontId="4" fillId="13" borderId="6" xfId="0" applyFont="1" applyFill="1" applyBorder="1" applyAlignment="1"/>
    <xf numFmtId="0" fontId="4" fillId="15" borderId="3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88" fontId="1" fillId="5" borderId="27" xfId="0" applyNumberFormat="1" applyFont="1" applyFill="1" applyBorder="1" applyAlignment="1">
      <alignment horizontal="center" vertical="center" wrapText="1"/>
    </xf>
    <xf numFmtId="188" fontId="1" fillId="6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85" zoomScaleNormal="85" zoomScaleSheetLayoutView="85" workbookViewId="0">
      <pane ySplit="6" topLeftCell="A7" activePane="bottomLeft" state="frozen"/>
      <selection pane="bottomLeft" sqref="A1:P1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6.7109375" customWidth="1"/>
    <col min="7" max="7" width="65.5703125" customWidth="1"/>
    <col min="8" max="8" width="9.42578125" customWidth="1"/>
    <col min="9" max="10" width="19.42578125" bestFit="1" customWidth="1"/>
    <col min="11" max="11" width="12" bestFit="1" customWidth="1"/>
    <col min="12" max="14" width="23.5703125" bestFit="1" customWidth="1"/>
    <col min="15" max="15" width="12" bestFit="1" customWidth="1"/>
    <col min="16" max="16" width="12.28515625" bestFit="1" customWidth="1"/>
  </cols>
  <sheetData>
    <row r="1" spans="1:26" ht="20.25" customHeight="1">
      <c r="A1" s="873" t="s">
        <v>0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  <c r="P1" s="874"/>
    </row>
    <row r="2" spans="1:26" ht="20.25" customHeight="1">
      <c r="A2" s="873" t="s">
        <v>1</v>
      </c>
      <c r="B2" s="874"/>
      <c r="C2" s="874"/>
      <c r="D2" s="874"/>
      <c r="E2" s="874"/>
      <c r="F2" s="874"/>
      <c r="G2" s="874"/>
      <c r="H2" s="874"/>
      <c r="I2" s="874"/>
      <c r="J2" s="874"/>
      <c r="K2" s="874"/>
      <c r="L2" s="874"/>
      <c r="M2" s="874"/>
      <c r="N2" s="874"/>
      <c r="O2" s="874"/>
      <c r="P2" s="874"/>
    </row>
    <row r="3" spans="1:26" ht="20.25" customHeight="1">
      <c r="A3" s="873" t="str">
        <f ca="1">IFERROR(__xludf.DUMMYFUNCTION("IMPORTRANGE(""https://docs.google.com/spreadsheets/d/1RCyyhEJggpv17xgUrW2PS9v7yLqUjmy4YI2wzp0s_Mw/edit#gid=0"",""Sheet1!b1"")"),"ข้อมูล ณ วันที่ 15 กรกฎาคม 2566")</f>
        <v>ข้อมูล ณ วันที่ 15 กรกฎาคม 2566</v>
      </c>
      <c r="B3" s="874"/>
      <c r="C3" s="874"/>
      <c r="D3" s="874"/>
      <c r="E3" s="874"/>
      <c r="F3" s="874"/>
      <c r="G3" s="874"/>
      <c r="H3" s="874"/>
      <c r="I3" s="874"/>
      <c r="J3" s="874"/>
      <c r="K3" s="874"/>
      <c r="L3" s="874"/>
      <c r="M3" s="874"/>
      <c r="N3" s="874"/>
      <c r="O3" s="874"/>
      <c r="P3" s="874"/>
    </row>
    <row r="4" spans="1:26" ht="20.25" hidden="1" customHeight="1">
      <c r="A4" s="672"/>
      <c r="B4" s="672"/>
      <c r="C4" s="672"/>
      <c r="D4" s="672"/>
      <c r="E4" s="672"/>
      <c r="F4" s="672"/>
      <c r="G4" s="672"/>
      <c r="H4" s="672"/>
      <c r="I4" s="672"/>
      <c r="J4" s="673"/>
      <c r="K4" s="674"/>
      <c r="L4" s="673"/>
      <c r="M4" s="673"/>
      <c r="N4" s="673"/>
      <c r="O4" s="672"/>
      <c r="P4" s="672"/>
    </row>
    <row r="5" spans="1:26" ht="20.25" customHeight="1">
      <c r="A5" s="883" t="s">
        <v>2</v>
      </c>
      <c r="B5" s="884"/>
      <c r="C5" s="884"/>
      <c r="D5" s="884"/>
      <c r="E5" s="884"/>
      <c r="F5" s="884"/>
      <c r="G5" s="885"/>
      <c r="H5" s="875" t="s">
        <v>3</v>
      </c>
      <c r="I5" s="877" t="s">
        <v>4</v>
      </c>
      <c r="J5" s="878"/>
      <c r="K5" s="879"/>
      <c r="L5" s="880" t="s">
        <v>5</v>
      </c>
      <c r="M5" s="879"/>
      <c r="N5" s="881" t="s">
        <v>6</v>
      </c>
      <c r="O5" s="878"/>
      <c r="P5" s="882"/>
    </row>
    <row r="6" spans="1:26" ht="39">
      <c r="A6" s="886"/>
      <c r="B6" s="887"/>
      <c r="C6" s="887"/>
      <c r="D6" s="887"/>
      <c r="E6" s="887"/>
      <c r="F6" s="887"/>
      <c r="G6" s="876"/>
      <c r="H6" s="876"/>
      <c r="I6" s="667" t="s">
        <v>7</v>
      </c>
      <c r="J6" s="668" t="s">
        <v>8</v>
      </c>
      <c r="K6" s="667" t="s">
        <v>9</v>
      </c>
      <c r="L6" s="669" t="s">
        <v>10</v>
      </c>
      <c r="M6" s="670" t="s">
        <v>11</v>
      </c>
      <c r="N6" s="671" t="s">
        <v>12</v>
      </c>
      <c r="O6" s="669" t="s">
        <v>338</v>
      </c>
      <c r="P6" s="675" t="s">
        <v>339</v>
      </c>
    </row>
    <row r="7" spans="1:26" ht="20.25" customHeight="1">
      <c r="A7" s="868" t="s">
        <v>13</v>
      </c>
      <c r="B7" s="869"/>
      <c r="C7" s="869"/>
      <c r="D7" s="869"/>
      <c r="E7" s="869"/>
      <c r="F7" s="869"/>
      <c r="G7" s="870"/>
      <c r="H7" s="1"/>
      <c r="I7" s="2"/>
      <c r="J7" s="2"/>
      <c r="K7" s="3"/>
      <c r="L7" s="3"/>
      <c r="M7" s="3"/>
      <c r="N7" s="3"/>
      <c r="O7" s="3"/>
      <c r="P7" s="676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77"/>
      <c r="B8" s="5"/>
      <c r="C8" s="853" t="s">
        <v>14</v>
      </c>
      <c r="D8" s="6" t="s">
        <v>15</v>
      </c>
      <c r="E8" s="5"/>
      <c r="F8" s="5"/>
      <c r="G8" s="7"/>
      <c r="H8" s="8" t="s">
        <v>12</v>
      </c>
      <c r="I8" s="9"/>
      <c r="J8" s="9"/>
      <c r="K8" s="10"/>
      <c r="L8" s="10">
        <f t="shared" ref="L8:N8" ca="1" si="0">L9+L10</f>
        <v>834307760</v>
      </c>
      <c r="M8" s="10">
        <f t="shared" ca="1" si="0"/>
        <v>830665320</v>
      </c>
      <c r="N8" s="10">
        <f t="shared" ca="1" si="0"/>
        <v>606167570.3099997</v>
      </c>
      <c r="O8" s="10">
        <f t="shared" ref="O8:O16" ca="1" si="1">IF(L8&gt;0,N8*100/L8,0)</f>
        <v>72.655151896225888</v>
      </c>
      <c r="P8" s="678">
        <f t="shared" ref="P8:P16" ca="1" si="2">IF(M8&gt;0,N8*100/M8,0)</f>
        <v>72.973742338249977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0.25" customHeight="1">
      <c r="A9" s="679"/>
      <c r="B9" s="12"/>
      <c r="C9" s="12"/>
      <c r="D9" s="12"/>
      <c r="E9" s="13" t="s">
        <v>16</v>
      </c>
      <c r="F9" s="12"/>
      <c r="G9" s="14"/>
      <c r="H9" s="15" t="s">
        <v>12</v>
      </c>
      <c r="I9" s="16"/>
      <c r="J9" s="16"/>
      <c r="K9" s="17"/>
      <c r="L9" s="17">
        <f t="shared" ref="L9:N9" ca="1" si="3">L12+L15</f>
        <v>347117839</v>
      </c>
      <c r="M9" s="17">
        <f t="shared" ca="1" si="3"/>
        <v>331867515.25999999</v>
      </c>
      <c r="N9" s="17">
        <f t="shared" ca="1" si="3"/>
        <v>250566728.51999998</v>
      </c>
      <c r="O9" s="17">
        <f t="shared" ca="1" si="1"/>
        <v>72.184918309542709</v>
      </c>
      <c r="P9" s="680">
        <f t="shared" ca="1" si="2"/>
        <v>75.502035299747462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0.25" customHeight="1">
      <c r="A10" s="679"/>
      <c r="B10" s="12"/>
      <c r="C10" s="12"/>
      <c r="D10" s="12"/>
      <c r="E10" s="13" t="s">
        <v>17</v>
      </c>
      <c r="F10" s="12"/>
      <c r="G10" s="14"/>
      <c r="H10" s="15" t="s">
        <v>12</v>
      </c>
      <c r="I10" s="16"/>
      <c r="J10" s="16"/>
      <c r="K10" s="17"/>
      <c r="L10" s="17">
        <f t="shared" ref="L10:N10" ca="1" si="4">L13+L16</f>
        <v>487189921</v>
      </c>
      <c r="M10" s="17">
        <f t="shared" ca="1" si="4"/>
        <v>498797804.74000001</v>
      </c>
      <c r="N10" s="17">
        <f t="shared" ca="1" si="4"/>
        <v>355600841.78999978</v>
      </c>
      <c r="O10" s="17">
        <f t="shared" ca="1" si="1"/>
        <v>72.99018852034088</v>
      </c>
      <c r="P10" s="680">
        <f t="shared" ca="1" si="2"/>
        <v>71.291581159896623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0.25" customHeight="1">
      <c r="A11" s="681"/>
      <c r="B11" s="19"/>
      <c r="C11" s="19"/>
      <c r="D11" s="20" t="s">
        <v>18</v>
      </c>
      <c r="E11" s="19"/>
      <c r="F11" s="19"/>
      <c r="G11" s="21"/>
      <c r="H11" s="22" t="s">
        <v>12</v>
      </c>
      <c r="I11" s="526"/>
      <c r="J11" s="526"/>
      <c r="K11" s="23"/>
      <c r="L11" s="23">
        <f t="shared" ref="L11:N11" ca="1" si="5">L12+L13</f>
        <v>590683060</v>
      </c>
      <c r="M11" s="23">
        <f t="shared" ca="1" si="5"/>
        <v>594939860</v>
      </c>
      <c r="N11" s="23">
        <f t="shared" ca="1" si="5"/>
        <v>421203567.10999978</v>
      </c>
      <c r="O11" s="23">
        <f t="shared" ca="1" si="1"/>
        <v>71.307879916177001</v>
      </c>
      <c r="P11" s="682">
        <f t="shared" ca="1" si="2"/>
        <v>70.797671399929357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0.25" customHeight="1">
      <c r="A12" s="683"/>
      <c r="B12" s="24"/>
      <c r="C12" s="24"/>
      <c r="D12" s="24"/>
      <c r="E12" s="226" t="s">
        <v>16</v>
      </c>
      <c r="F12" s="24"/>
      <c r="G12" s="25"/>
      <c r="H12" s="228" t="s">
        <v>12</v>
      </c>
      <c r="I12" s="216"/>
      <c r="J12" s="216"/>
      <c r="K12" s="63"/>
      <c r="L12" s="63">
        <f t="shared" ref="L12:N12" ca="1" si="6">L22+L32</f>
        <v>217730539</v>
      </c>
      <c r="M12" s="63">
        <f t="shared" ca="1" si="6"/>
        <v>206973076.44999999</v>
      </c>
      <c r="N12" s="63">
        <f t="shared" ca="1" si="6"/>
        <v>141581904.25</v>
      </c>
      <c r="O12" s="63">
        <f t="shared" ca="1" si="1"/>
        <v>65.02620390334863</v>
      </c>
      <c r="P12" s="684">
        <f t="shared" ca="1" si="2"/>
        <v>68.405952444835492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0.25" customHeight="1">
      <c r="A13" s="683"/>
      <c r="B13" s="24"/>
      <c r="C13" s="24"/>
      <c r="D13" s="24"/>
      <c r="E13" s="226" t="s">
        <v>17</v>
      </c>
      <c r="F13" s="24"/>
      <c r="G13" s="25"/>
      <c r="H13" s="228" t="s">
        <v>12</v>
      </c>
      <c r="I13" s="216"/>
      <c r="J13" s="216"/>
      <c r="K13" s="63"/>
      <c r="L13" s="63">
        <f t="shared" ref="L13:N13" ca="1" si="7">L23+L33</f>
        <v>372952521</v>
      </c>
      <c r="M13" s="63">
        <f t="shared" ca="1" si="7"/>
        <v>387966783.55000001</v>
      </c>
      <c r="N13" s="63">
        <f t="shared" ca="1" si="7"/>
        <v>279621662.85999978</v>
      </c>
      <c r="O13" s="63">
        <f t="shared" ca="1" si="1"/>
        <v>74.975136811047264</v>
      </c>
      <c r="P13" s="684">
        <f t="shared" ca="1" si="2"/>
        <v>72.073609060390851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0.25" customHeight="1">
      <c r="A14" s="681"/>
      <c r="B14" s="19"/>
      <c r="C14" s="19"/>
      <c r="D14" s="20" t="s">
        <v>19</v>
      </c>
      <c r="E14" s="19"/>
      <c r="F14" s="19"/>
      <c r="G14" s="21"/>
      <c r="H14" s="22" t="s">
        <v>12</v>
      </c>
      <c r="I14" s="526"/>
      <c r="J14" s="526"/>
      <c r="K14" s="23"/>
      <c r="L14" s="23">
        <f t="shared" ref="L14:N14" ca="1" si="8">L15+L16</f>
        <v>243624700</v>
      </c>
      <c r="M14" s="23">
        <f t="shared" ca="1" si="8"/>
        <v>235725460</v>
      </c>
      <c r="N14" s="23">
        <f t="shared" ca="1" si="8"/>
        <v>184964003.19999999</v>
      </c>
      <c r="O14" s="23">
        <f t="shared" ca="1" si="1"/>
        <v>75.921695624458437</v>
      </c>
      <c r="P14" s="682">
        <f t="shared" ca="1" si="2"/>
        <v>78.465857357962093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0.25" customHeight="1">
      <c r="A15" s="683"/>
      <c r="B15" s="24"/>
      <c r="C15" s="24"/>
      <c r="D15" s="24"/>
      <c r="E15" s="226" t="s">
        <v>16</v>
      </c>
      <c r="F15" s="24"/>
      <c r="G15" s="25"/>
      <c r="H15" s="228" t="s">
        <v>12</v>
      </c>
      <c r="I15" s="216"/>
      <c r="J15" s="216"/>
      <c r="K15" s="63"/>
      <c r="L15" s="63">
        <f t="shared" ref="L15:N15" ca="1" si="9">L25+L35</f>
        <v>129387300</v>
      </c>
      <c r="M15" s="63">
        <f t="shared" ca="1" si="9"/>
        <v>124894438.81</v>
      </c>
      <c r="N15" s="63">
        <f t="shared" ca="1" si="9"/>
        <v>108984824.27</v>
      </c>
      <c r="O15" s="63">
        <f t="shared" ca="1" si="1"/>
        <v>84.231469603276366</v>
      </c>
      <c r="P15" s="684">
        <f t="shared" ca="1" si="2"/>
        <v>87.261550881218128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0.25" customHeight="1">
      <c r="A16" s="685"/>
      <c r="B16" s="26"/>
      <c r="C16" s="26"/>
      <c r="D16" s="26"/>
      <c r="E16" s="27" t="s">
        <v>17</v>
      </c>
      <c r="F16" s="26"/>
      <c r="G16" s="28"/>
      <c r="H16" s="29" t="s">
        <v>12</v>
      </c>
      <c r="I16" s="284"/>
      <c r="J16" s="284"/>
      <c r="K16" s="30"/>
      <c r="L16" s="30">
        <f t="shared" ref="L16:N16" ca="1" si="10">L26+L36</f>
        <v>114237400</v>
      </c>
      <c r="M16" s="30">
        <f t="shared" ca="1" si="10"/>
        <v>110831021.19</v>
      </c>
      <c r="N16" s="30">
        <f t="shared" ca="1" si="10"/>
        <v>75979178.929999992</v>
      </c>
      <c r="O16" s="30">
        <f t="shared" ca="1" si="1"/>
        <v>66.509898623393028</v>
      </c>
      <c r="P16" s="686">
        <f t="shared" ca="1" si="2"/>
        <v>68.554072780532493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0.25" customHeight="1">
      <c r="A17" s="868" t="s">
        <v>20</v>
      </c>
      <c r="B17" s="869"/>
      <c r="C17" s="869"/>
      <c r="D17" s="869"/>
      <c r="E17" s="869"/>
      <c r="F17" s="869"/>
      <c r="G17" s="870"/>
      <c r="H17" s="1"/>
      <c r="I17" s="2"/>
      <c r="J17" s="2"/>
      <c r="K17" s="3"/>
      <c r="L17" s="3"/>
      <c r="M17" s="3"/>
      <c r="N17" s="3"/>
      <c r="O17" s="3"/>
      <c r="P17" s="676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77"/>
      <c r="B18" s="5"/>
      <c r="C18" s="853" t="s">
        <v>14</v>
      </c>
      <c r="D18" s="6" t="s">
        <v>15</v>
      </c>
      <c r="E18" s="5"/>
      <c r="F18" s="5"/>
      <c r="G18" s="7"/>
      <c r="H18" s="8" t="s">
        <v>12</v>
      </c>
      <c r="I18" s="9"/>
      <c r="J18" s="9"/>
      <c r="K18" s="10"/>
      <c r="L18" s="10">
        <f t="shared" ref="L18:N18" ca="1" si="11">L19+L20</f>
        <v>640047400</v>
      </c>
      <c r="M18" s="10">
        <f t="shared" ca="1" si="11"/>
        <v>636404960</v>
      </c>
      <c r="N18" s="10">
        <f t="shared" ca="1" si="11"/>
        <v>490571172.48999989</v>
      </c>
      <c r="O18" s="10">
        <f t="shared" ref="O18:O26" ca="1" si="12">IF(L18&gt;0,N18*100/L18,0)</f>
        <v>76.646069102069617</v>
      </c>
      <c r="P18" s="678">
        <f t="shared" ref="P18:P26" ca="1" si="13">IF(M18&gt;0,N18*100/M18,0)</f>
        <v>77.084750013576254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0.25" customHeight="1">
      <c r="A19" s="679"/>
      <c r="B19" s="12"/>
      <c r="C19" s="12"/>
      <c r="D19" s="12"/>
      <c r="E19" s="13" t="s">
        <v>16</v>
      </c>
      <c r="F19" s="12"/>
      <c r="G19" s="14"/>
      <c r="H19" s="15" t="s">
        <v>12</v>
      </c>
      <c r="I19" s="16"/>
      <c r="J19" s="16"/>
      <c r="K19" s="17"/>
      <c r="L19" s="17">
        <f t="shared" ref="L19:N19" ca="1" si="14">L22+L25</f>
        <v>282167156</v>
      </c>
      <c r="M19" s="17">
        <f t="shared" ca="1" si="14"/>
        <v>267204666.25999999</v>
      </c>
      <c r="N19" s="17">
        <f t="shared" ca="1" si="14"/>
        <v>216579625.40999997</v>
      </c>
      <c r="O19" s="17">
        <f t="shared" ca="1" si="12"/>
        <v>76.755788476671597</v>
      </c>
      <c r="P19" s="680">
        <f t="shared" ca="1" si="13"/>
        <v>81.053833543183714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0.25" customHeight="1">
      <c r="A20" s="679"/>
      <c r="B20" s="12"/>
      <c r="C20" s="12"/>
      <c r="D20" s="12"/>
      <c r="E20" s="13" t="s">
        <v>17</v>
      </c>
      <c r="F20" s="12"/>
      <c r="G20" s="14"/>
      <c r="H20" s="15" t="s">
        <v>12</v>
      </c>
      <c r="I20" s="16"/>
      <c r="J20" s="16"/>
      <c r="K20" s="17"/>
      <c r="L20" s="17">
        <f t="shared" ref="L20:N20" ca="1" si="15">L23+L26</f>
        <v>357880244</v>
      </c>
      <c r="M20" s="17">
        <f t="shared" ca="1" si="15"/>
        <v>369200293.74000001</v>
      </c>
      <c r="N20" s="17">
        <f t="shared" ca="1" si="15"/>
        <v>273991547.07999992</v>
      </c>
      <c r="O20" s="17">
        <f t="shared" ca="1" si="12"/>
        <v>76.559561941060906</v>
      </c>
      <c r="P20" s="680">
        <f t="shared" ca="1" si="13"/>
        <v>74.212169309093653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0.25" customHeight="1">
      <c r="A21" s="681"/>
      <c r="B21" s="19"/>
      <c r="C21" s="19"/>
      <c r="D21" s="20" t="s">
        <v>18</v>
      </c>
      <c r="E21" s="19"/>
      <c r="F21" s="19"/>
      <c r="G21" s="21"/>
      <c r="H21" s="22" t="s">
        <v>12</v>
      </c>
      <c r="I21" s="526"/>
      <c r="J21" s="526"/>
      <c r="K21" s="23"/>
      <c r="L21" s="23">
        <f t="shared" ref="L21:N21" ca="1" si="16">L22+L23</f>
        <v>406365700</v>
      </c>
      <c r="M21" s="23">
        <f t="shared" ca="1" si="16"/>
        <v>410622500</v>
      </c>
      <c r="N21" s="23">
        <f t="shared" ca="1" si="16"/>
        <v>315318169.2899999</v>
      </c>
      <c r="O21" s="23">
        <f t="shared" ca="1" si="12"/>
        <v>77.594681167726478</v>
      </c>
      <c r="P21" s="682">
        <f t="shared" ca="1" si="13"/>
        <v>76.790280437628212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0.25" customHeight="1">
      <c r="A22" s="683"/>
      <c r="B22" s="24"/>
      <c r="C22" s="24"/>
      <c r="D22" s="24"/>
      <c r="E22" s="226" t="s">
        <v>16</v>
      </c>
      <c r="F22" s="24"/>
      <c r="G22" s="25"/>
      <c r="H22" s="228" t="s">
        <v>12</v>
      </c>
      <c r="I22" s="216"/>
      <c r="J22" s="216"/>
      <c r="K22" s="63"/>
      <c r="L22" s="63">
        <f t="shared" ref="L22:N22" ca="1" si="17">L45+L57+L70+L92+L123+L136+L153+L185+L169+L265+L281+L302+L319+L332+L349+L393+L406</f>
        <v>162722856</v>
      </c>
      <c r="M22" s="63">
        <f t="shared" ca="1" si="17"/>
        <v>152253227.44999999</v>
      </c>
      <c r="N22" s="63">
        <f t="shared" ca="1" si="17"/>
        <v>117305801.13999999</v>
      </c>
      <c r="O22" s="63">
        <f t="shared" ca="1" si="12"/>
        <v>72.089320470137267</v>
      </c>
      <c r="P22" s="684">
        <f t="shared" ca="1" si="13"/>
        <v>77.046511988406451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0.25" customHeight="1">
      <c r="A23" s="683"/>
      <c r="B23" s="24"/>
      <c r="C23" s="24"/>
      <c r="D23" s="24"/>
      <c r="E23" s="226" t="s">
        <v>17</v>
      </c>
      <c r="F23" s="24"/>
      <c r="G23" s="25"/>
      <c r="H23" s="228" t="s">
        <v>12</v>
      </c>
      <c r="I23" s="216"/>
      <c r="J23" s="216"/>
      <c r="K23" s="63"/>
      <c r="L23" s="63">
        <f t="shared" ref="L23:N23" ca="1" si="18">L46+L58+L71+L93+L124+L137+L154+L186+L170+L266+L282+L303+L320+L333+L350+L394+L407</f>
        <v>243642844</v>
      </c>
      <c r="M23" s="63">
        <f t="shared" ca="1" si="18"/>
        <v>258369272.55000001</v>
      </c>
      <c r="N23" s="63">
        <f t="shared" ca="1" si="18"/>
        <v>198012368.14999992</v>
      </c>
      <c r="O23" s="63">
        <f t="shared" ca="1" si="12"/>
        <v>81.271571493394617</v>
      </c>
      <c r="P23" s="684">
        <f t="shared" ca="1" si="13"/>
        <v>76.639286938302718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0.25" customHeight="1">
      <c r="A24" s="681"/>
      <c r="B24" s="19"/>
      <c r="C24" s="19"/>
      <c r="D24" s="20" t="s">
        <v>19</v>
      </c>
      <c r="E24" s="19"/>
      <c r="F24" s="19"/>
      <c r="G24" s="21"/>
      <c r="H24" s="22" t="s">
        <v>12</v>
      </c>
      <c r="I24" s="526"/>
      <c r="J24" s="526"/>
      <c r="K24" s="23"/>
      <c r="L24" s="23">
        <f t="shared" ref="L24:N24" ca="1" si="19">L25+L26</f>
        <v>233681700</v>
      </c>
      <c r="M24" s="23">
        <f t="shared" ca="1" si="19"/>
        <v>225782460</v>
      </c>
      <c r="N24" s="23">
        <f t="shared" ca="1" si="19"/>
        <v>175253003.19999999</v>
      </c>
      <c r="O24" s="23">
        <f t="shared" ca="1" si="12"/>
        <v>74.996460227737131</v>
      </c>
      <c r="P24" s="682">
        <f t="shared" ca="1" si="13"/>
        <v>77.620291319352262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0.25" customHeight="1">
      <c r="A25" s="683"/>
      <c r="B25" s="24"/>
      <c r="C25" s="24"/>
      <c r="D25" s="24"/>
      <c r="E25" s="226" t="s">
        <v>16</v>
      </c>
      <c r="F25" s="24"/>
      <c r="G25" s="25"/>
      <c r="H25" s="228" t="s">
        <v>12</v>
      </c>
      <c r="I25" s="216"/>
      <c r="J25" s="216"/>
      <c r="K25" s="63"/>
      <c r="L25" s="63">
        <f t="shared" ref="L25:N25" ca="1" si="20">L48+L60+L73+L95+L126+L139+L156+L188+L172+L268+L284+L305+L322+L335+L352+L396+L409</f>
        <v>119444300</v>
      </c>
      <c r="M25" s="63">
        <f t="shared" ca="1" si="20"/>
        <v>114951438.81</v>
      </c>
      <c r="N25" s="63">
        <f t="shared" ca="1" si="20"/>
        <v>99273824.269999996</v>
      </c>
      <c r="O25" s="63">
        <f t="shared" ca="1" si="12"/>
        <v>83.113069665107503</v>
      </c>
      <c r="P25" s="684">
        <f t="shared" ca="1" si="13"/>
        <v>86.361532572103698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0.25" customHeight="1">
      <c r="A26" s="685"/>
      <c r="B26" s="26"/>
      <c r="C26" s="26"/>
      <c r="D26" s="26"/>
      <c r="E26" s="27" t="s">
        <v>17</v>
      </c>
      <c r="F26" s="26"/>
      <c r="G26" s="28"/>
      <c r="H26" s="29" t="s">
        <v>12</v>
      </c>
      <c r="I26" s="284"/>
      <c r="J26" s="284"/>
      <c r="K26" s="30"/>
      <c r="L26" s="30">
        <f t="shared" ref="L26:N26" ca="1" si="21">L49+L61+L74+L96+L127+L140+L157+L189+L173+L269+L285+L306+L323+L336+L353+L397+L410</f>
        <v>114237400</v>
      </c>
      <c r="M26" s="30">
        <f t="shared" ca="1" si="21"/>
        <v>110831021.19</v>
      </c>
      <c r="N26" s="30">
        <f t="shared" ca="1" si="21"/>
        <v>75979178.929999992</v>
      </c>
      <c r="O26" s="30">
        <f t="shared" ca="1" si="12"/>
        <v>66.509898623393028</v>
      </c>
      <c r="P26" s="686">
        <f t="shared" ca="1" si="13"/>
        <v>68.554072780532493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0.25" customHeight="1">
      <c r="A27" s="868" t="s">
        <v>21</v>
      </c>
      <c r="B27" s="869"/>
      <c r="C27" s="869"/>
      <c r="D27" s="869"/>
      <c r="E27" s="869"/>
      <c r="F27" s="869"/>
      <c r="G27" s="870"/>
      <c r="H27" s="1"/>
      <c r="I27" s="2"/>
      <c r="J27" s="2"/>
      <c r="K27" s="3"/>
      <c r="L27" s="3"/>
      <c r="M27" s="3"/>
      <c r="N27" s="3"/>
      <c r="O27" s="3"/>
      <c r="P27" s="676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77"/>
      <c r="B28" s="5"/>
      <c r="C28" s="853" t="s">
        <v>14</v>
      </c>
      <c r="D28" s="6" t="s">
        <v>15</v>
      </c>
      <c r="E28" s="5"/>
      <c r="F28" s="5"/>
      <c r="G28" s="7"/>
      <c r="H28" s="8" t="s">
        <v>12</v>
      </c>
      <c r="I28" s="9"/>
      <c r="J28" s="9"/>
      <c r="K28" s="10"/>
      <c r="L28" s="10">
        <f t="shared" ref="L28:N28" ca="1" si="22">L29+L30</f>
        <v>194260360</v>
      </c>
      <c r="M28" s="10">
        <f t="shared" ca="1" si="22"/>
        <v>194260360</v>
      </c>
      <c r="N28" s="10">
        <f t="shared" ca="1" si="22"/>
        <v>115596397.81999989</v>
      </c>
      <c r="O28" s="10">
        <f t="shared" ref="O28:O37" ca="1" si="23">IF(L28&gt;0,N28*100/L28,0)</f>
        <v>59.505911458209944</v>
      </c>
      <c r="P28" s="678">
        <f t="shared" ref="P28:P37" ca="1" si="24">IF(M28&gt;0,N28*100/M28,0)</f>
        <v>59.505911458209944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0.25" customHeight="1">
      <c r="A29" s="679"/>
      <c r="B29" s="12"/>
      <c r="C29" s="12"/>
      <c r="D29" s="12"/>
      <c r="E29" s="13" t="s">
        <v>16</v>
      </c>
      <c r="F29" s="12"/>
      <c r="G29" s="14"/>
      <c r="H29" s="15" t="s">
        <v>12</v>
      </c>
      <c r="I29" s="16"/>
      <c r="J29" s="16"/>
      <c r="K29" s="17"/>
      <c r="L29" s="17">
        <f t="shared" ref="L29:N29" ca="1" si="25">L32+L35</f>
        <v>64950683</v>
      </c>
      <c r="M29" s="17">
        <f t="shared" ca="1" si="25"/>
        <v>64662849</v>
      </c>
      <c r="N29" s="17">
        <f t="shared" ca="1" si="25"/>
        <v>33987103.109999999</v>
      </c>
      <c r="O29" s="17">
        <f t="shared" ca="1" si="23"/>
        <v>52.327553060527478</v>
      </c>
      <c r="P29" s="680">
        <f t="shared" ca="1" si="24"/>
        <v>52.560478908066671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0.25" customHeight="1">
      <c r="A30" s="679"/>
      <c r="B30" s="12"/>
      <c r="C30" s="12"/>
      <c r="D30" s="12"/>
      <c r="E30" s="13" t="s">
        <v>17</v>
      </c>
      <c r="F30" s="12"/>
      <c r="G30" s="14"/>
      <c r="H30" s="15" t="s">
        <v>12</v>
      </c>
      <c r="I30" s="16"/>
      <c r="J30" s="16"/>
      <c r="K30" s="17"/>
      <c r="L30" s="17">
        <f t="shared" ref="L30:N30" ca="1" si="26">L33+L36</f>
        <v>129309677</v>
      </c>
      <c r="M30" s="17">
        <f t="shared" ca="1" si="26"/>
        <v>129597511</v>
      </c>
      <c r="N30" s="17">
        <f t="shared" ca="1" si="26"/>
        <v>81609294.709999889</v>
      </c>
      <c r="O30" s="17">
        <f t="shared" ca="1" si="23"/>
        <v>63.111513850583577</v>
      </c>
      <c r="P30" s="680">
        <f t="shared" ca="1" si="24"/>
        <v>62.971344187312276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0.25" customHeight="1">
      <c r="A31" s="681"/>
      <c r="B31" s="19"/>
      <c r="C31" s="19"/>
      <c r="D31" s="20" t="s">
        <v>18</v>
      </c>
      <c r="E31" s="19"/>
      <c r="F31" s="19"/>
      <c r="G31" s="21"/>
      <c r="H31" s="22" t="s">
        <v>12</v>
      </c>
      <c r="I31" s="526"/>
      <c r="J31" s="526"/>
      <c r="K31" s="23"/>
      <c r="L31" s="23">
        <f t="shared" ref="L31:N31" ca="1" si="27">L32+L33</f>
        <v>184317360</v>
      </c>
      <c r="M31" s="23">
        <f t="shared" ca="1" si="27"/>
        <v>184317360</v>
      </c>
      <c r="N31" s="23">
        <f t="shared" ca="1" si="27"/>
        <v>105885397.81999989</v>
      </c>
      <c r="O31" s="23">
        <f t="shared" ca="1" si="23"/>
        <v>57.447327706950603</v>
      </c>
      <c r="P31" s="682">
        <f t="shared" ca="1" si="24"/>
        <v>57.447327706950603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0.25" customHeight="1">
      <c r="A32" s="683"/>
      <c r="B32" s="24"/>
      <c r="C32" s="24"/>
      <c r="D32" s="24"/>
      <c r="E32" s="226" t="s">
        <v>16</v>
      </c>
      <c r="F32" s="24"/>
      <c r="G32" s="25"/>
      <c r="H32" s="228" t="s">
        <v>12</v>
      </c>
      <c r="I32" s="216"/>
      <c r="J32" s="216"/>
      <c r="K32" s="63"/>
      <c r="L32" s="63">
        <f t="shared" ref="L32:N32" ca="1" si="28">L423+L448+L471+L506+L527+L548+L633+L659+L689+L741+L758+L774+L790+L809</f>
        <v>55007683</v>
      </c>
      <c r="M32" s="63">
        <f t="shared" ca="1" si="28"/>
        <v>54719849</v>
      </c>
      <c r="N32" s="63">
        <f t="shared" ca="1" si="28"/>
        <v>24276103.109999999</v>
      </c>
      <c r="O32" s="63">
        <f t="shared" ca="1" si="23"/>
        <v>44.132204423153034</v>
      </c>
      <c r="P32" s="684">
        <f t="shared" ca="1" si="24"/>
        <v>44.36434594327919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0.25" customHeight="1">
      <c r="A33" s="683"/>
      <c r="B33" s="24"/>
      <c r="C33" s="24"/>
      <c r="D33" s="24"/>
      <c r="E33" s="226" t="s">
        <v>17</v>
      </c>
      <c r="F33" s="24"/>
      <c r="G33" s="25"/>
      <c r="H33" s="228" t="s">
        <v>12</v>
      </c>
      <c r="I33" s="216"/>
      <c r="J33" s="216"/>
      <c r="K33" s="63"/>
      <c r="L33" s="63">
        <f t="shared" ref="L33:N33" ca="1" si="29">L424+L449+L472+L507+L528+L549+L634+L660+L690+L742+L759+L775+L791+L810</f>
        <v>129309677</v>
      </c>
      <c r="M33" s="63">
        <f t="shared" ca="1" si="29"/>
        <v>129597511</v>
      </c>
      <c r="N33" s="63">
        <f t="shared" ca="1" si="29"/>
        <v>81609294.709999889</v>
      </c>
      <c r="O33" s="63">
        <f t="shared" ca="1" si="23"/>
        <v>63.111513850583577</v>
      </c>
      <c r="P33" s="684">
        <f t="shared" ca="1" si="24"/>
        <v>62.971344187312276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0.25" customHeight="1">
      <c r="A34" s="681"/>
      <c r="B34" s="19"/>
      <c r="C34" s="19"/>
      <c r="D34" s="20" t="s">
        <v>19</v>
      </c>
      <c r="E34" s="19"/>
      <c r="F34" s="19"/>
      <c r="G34" s="21"/>
      <c r="H34" s="22" t="s">
        <v>12</v>
      </c>
      <c r="I34" s="526"/>
      <c r="J34" s="526"/>
      <c r="K34" s="23"/>
      <c r="L34" s="23">
        <f t="shared" ref="L34:N34" ca="1" si="30">L35+L36</f>
        <v>9943000</v>
      </c>
      <c r="M34" s="23">
        <f t="shared" ca="1" si="30"/>
        <v>9943000</v>
      </c>
      <c r="N34" s="23">
        <f t="shared" ca="1" si="30"/>
        <v>9711000</v>
      </c>
      <c r="O34" s="23">
        <f t="shared" ca="1" si="23"/>
        <v>97.666700191089205</v>
      </c>
      <c r="P34" s="682">
        <f t="shared" ca="1" si="24"/>
        <v>97.666700191089205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0.25" customHeight="1">
      <c r="A35" s="683"/>
      <c r="B35" s="24"/>
      <c r="C35" s="24"/>
      <c r="D35" s="24"/>
      <c r="E35" s="226" t="s">
        <v>16</v>
      </c>
      <c r="F35" s="24"/>
      <c r="G35" s="25"/>
      <c r="H35" s="228" t="s">
        <v>12</v>
      </c>
      <c r="I35" s="216"/>
      <c r="J35" s="216"/>
      <c r="K35" s="63"/>
      <c r="L35" s="63">
        <f t="shared" ref="L35:N35" ca="1" si="31">L430+L455+L478+L513+L534+L556+L640+L666+L696+L748+L765+L781+L797+L816</f>
        <v>9943000</v>
      </c>
      <c r="M35" s="63">
        <f t="shared" ca="1" si="31"/>
        <v>9943000</v>
      </c>
      <c r="N35" s="63">
        <f t="shared" ca="1" si="31"/>
        <v>9711000</v>
      </c>
      <c r="O35" s="63">
        <f t="shared" ca="1" si="23"/>
        <v>97.666700191089205</v>
      </c>
      <c r="P35" s="684">
        <f t="shared" ca="1" si="24"/>
        <v>97.666700191089205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0.25" customHeight="1">
      <c r="A36" s="685"/>
      <c r="B36" s="26"/>
      <c r="C36" s="26"/>
      <c r="D36" s="26"/>
      <c r="E36" s="27" t="s">
        <v>17</v>
      </c>
      <c r="F36" s="26"/>
      <c r="G36" s="28"/>
      <c r="H36" s="29" t="s">
        <v>12</v>
      </c>
      <c r="I36" s="284"/>
      <c r="J36" s="284"/>
      <c r="K36" s="30"/>
      <c r="L36" s="30">
        <f t="shared" ref="L36:N36" ca="1" si="32">L431+L456+L479+L514+L535+L557+L641+L667+L697+L749+L766+L782+L798+L817</f>
        <v>0</v>
      </c>
      <c r="M36" s="30">
        <f t="shared" si="32"/>
        <v>0</v>
      </c>
      <c r="N36" s="30">
        <f t="shared" si="32"/>
        <v>0</v>
      </c>
      <c r="O36" s="30">
        <f t="shared" ca="1" si="23"/>
        <v>0</v>
      </c>
      <c r="P36" s="686">
        <f t="shared" si="24"/>
        <v>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0.25" customHeight="1">
      <c r="A37" s="687" t="s">
        <v>22</v>
      </c>
      <c r="B37" s="31"/>
      <c r="C37" s="31"/>
      <c r="D37" s="31"/>
      <c r="E37" s="31"/>
      <c r="F37" s="31"/>
      <c r="G37" s="32"/>
      <c r="H37" s="33"/>
      <c r="I37" s="34"/>
      <c r="J37" s="34"/>
      <c r="K37" s="35"/>
      <c r="L37" s="35">
        <f ca="1">L41+L53+L66+L88+L119+L132+L149+L165+L181+L261+L277+L298+L315+L328+L345+L389+L402</f>
        <v>640047400</v>
      </c>
      <c r="M37" s="35">
        <f ca="1">M41+M53+M66+M88+M119+M132+M149+M165+M181+M261+M277+M298+M315+M328+M468+M345+M389+M402</f>
        <v>638458170</v>
      </c>
      <c r="N37" s="35">
        <f ca="1">N41+N53+N66+N88+N119+N132+N149+N165+N181+N261+N277+N298+N315+N328+N345+N389+N402</f>
        <v>490571172.48999989</v>
      </c>
      <c r="O37" s="35">
        <f t="shared" ca="1" si="23"/>
        <v>76.646069102069617</v>
      </c>
      <c r="P37" s="688">
        <f t="shared" ca="1" si="24"/>
        <v>76.836854087089208</v>
      </c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0.25" customHeight="1">
      <c r="A38" s="689" t="s">
        <v>23</v>
      </c>
      <c r="B38" s="37"/>
      <c r="C38" s="37"/>
      <c r="D38" s="37"/>
      <c r="E38" s="37"/>
      <c r="F38" s="37"/>
      <c r="G38" s="38"/>
      <c r="H38" s="39"/>
      <c r="I38" s="40"/>
      <c r="J38" s="40"/>
      <c r="K38" s="41"/>
      <c r="L38" s="41"/>
      <c r="M38" s="41"/>
      <c r="N38" s="41"/>
      <c r="O38" s="41"/>
      <c r="P38" s="690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91"/>
      <c r="B39" s="42" t="s">
        <v>24</v>
      </c>
      <c r="C39" s="43"/>
      <c r="D39" s="43"/>
      <c r="E39" s="43"/>
      <c r="F39" s="43"/>
      <c r="G39" s="44"/>
      <c r="H39" s="45"/>
      <c r="I39" s="46"/>
      <c r="J39" s="46"/>
      <c r="K39" s="47"/>
      <c r="L39" s="47"/>
      <c r="M39" s="47"/>
      <c r="N39" s="47"/>
      <c r="O39" s="47"/>
      <c r="P39" s="692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693"/>
      <c r="B40" s="871" t="s">
        <v>25</v>
      </c>
      <c r="C40" s="862"/>
      <c r="D40" s="862"/>
      <c r="E40" s="862"/>
      <c r="F40" s="862"/>
      <c r="G40" s="866"/>
      <c r="H40" s="48"/>
      <c r="I40" s="49"/>
      <c r="J40" s="49"/>
      <c r="K40" s="50"/>
      <c r="L40" s="50"/>
      <c r="M40" s="50"/>
      <c r="N40" s="50"/>
      <c r="O40" s="50"/>
      <c r="P40" s="69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695"/>
      <c r="B41" s="51"/>
      <c r="C41" s="854" t="s">
        <v>14</v>
      </c>
      <c r="D41" s="52" t="s">
        <v>15</v>
      </c>
      <c r="E41" s="51"/>
      <c r="F41" s="51"/>
      <c r="G41" s="53"/>
      <c r="H41" s="54" t="s">
        <v>12</v>
      </c>
      <c r="I41" s="55"/>
      <c r="J41" s="55"/>
      <c r="K41" s="56"/>
      <c r="L41" s="56">
        <f t="shared" ref="L41:N41" ca="1" si="33">L42+L43</f>
        <v>51081800</v>
      </c>
      <c r="M41" s="56">
        <f t="shared" ca="1" si="33"/>
        <v>51081800</v>
      </c>
      <c r="N41" s="56">
        <f t="shared" ca="1" si="33"/>
        <v>39241124.43</v>
      </c>
      <c r="O41" s="56">
        <f t="shared" ref="O41:O45" ca="1" si="34">IF(L41&gt;0,N41*100/L41,0)</f>
        <v>76.820167711396238</v>
      </c>
      <c r="P41" s="696">
        <f t="shared" ref="P41:P49" ca="1" si="35">IF(M41&gt;0,N41*100/M41,0)</f>
        <v>76.820167711396238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0.25" customHeight="1">
      <c r="A42" s="697"/>
      <c r="B42" s="57"/>
      <c r="C42" s="57"/>
      <c r="D42" s="57"/>
      <c r="E42" s="58" t="s">
        <v>16</v>
      </c>
      <c r="F42" s="57"/>
      <c r="G42" s="59"/>
      <c r="H42" s="60" t="s">
        <v>12</v>
      </c>
      <c r="I42" s="61"/>
      <c r="J42" s="61"/>
      <c r="K42" s="62"/>
      <c r="L42" s="62">
        <f t="shared" ref="L42:N42" ca="1" si="36">L45+L48</f>
        <v>14734016</v>
      </c>
      <c r="M42" s="62">
        <f t="shared" ca="1" si="36"/>
        <v>10635437.449999999</v>
      </c>
      <c r="N42" s="62">
        <f t="shared" ca="1" si="36"/>
        <v>6912596.8700000001</v>
      </c>
      <c r="O42" s="62">
        <f t="shared" ca="1" si="34"/>
        <v>46.915904462164285</v>
      </c>
      <c r="P42" s="698">
        <f t="shared" ca="1" si="35"/>
        <v>64.995886652504367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0.25" customHeight="1">
      <c r="A43" s="697"/>
      <c r="B43" s="57"/>
      <c r="C43" s="57"/>
      <c r="D43" s="57"/>
      <c r="E43" s="58" t="s">
        <v>17</v>
      </c>
      <c r="F43" s="57"/>
      <c r="G43" s="59"/>
      <c r="H43" s="60" t="s">
        <v>12</v>
      </c>
      <c r="I43" s="61"/>
      <c r="J43" s="61"/>
      <c r="K43" s="62"/>
      <c r="L43" s="62">
        <f t="shared" ref="L43:N43" ca="1" si="37">L46+L49</f>
        <v>36347784</v>
      </c>
      <c r="M43" s="62">
        <f t="shared" ca="1" si="37"/>
        <v>40446362.549999997</v>
      </c>
      <c r="N43" s="62">
        <f t="shared" ca="1" si="37"/>
        <v>32328527.559999999</v>
      </c>
      <c r="O43" s="62">
        <f t="shared" ca="1" si="34"/>
        <v>88.942224263245322</v>
      </c>
      <c r="P43" s="698">
        <f t="shared" ca="1" si="35"/>
        <v>79.929381832631577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0.25" customHeight="1">
      <c r="A44" s="681"/>
      <c r="B44" s="19"/>
      <c r="C44" s="19"/>
      <c r="D44" s="20" t="s">
        <v>18</v>
      </c>
      <c r="E44" s="19"/>
      <c r="F44" s="19"/>
      <c r="G44" s="21"/>
      <c r="H44" s="22" t="s">
        <v>12</v>
      </c>
      <c r="I44" s="526"/>
      <c r="J44" s="526"/>
      <c r="K44" s="23"/>
      <c r="L44" s="23">
        <f t="shared" ref="L44:N44" ca="1" si="38">L45+L46</f>
        <v>51081800</v>
      </c>
      <c r="M44" s="23">
        <f t="shared" ca="1" si="38"/>
        <v>51081800</v>
      </c>
      <c r="N44" s="23">
        <f t="shared" ca="1" si="38"/>
        <v>39241124.43</v>
      </c>
      <c r="O44" s="23">
        <f t="shared" ca="1" si="34"/>
        <v>76.820167711396238</v>
      </c>
      <c r="P44" s="682">
        <f t="shared" ca="1" si="35"/>
        <v>76.820167711396238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0.25" customHeight="1">
      <c r="A45" s="683"/>
      <c r="B45" s="24"/>
      <c r="C45" s="24"/>
      <c r="D45" s="24"/>
      <c r="E45" s="226" t="s">
        <v>16</v>
      </c>
      <c r="F45" s="24"/>
      <c r="G45" s="25"/>
      <c r="H45" s="228" t="s">
        <v>12</v>
      </c>
      <c r="I45" s="216"/>
      <c r="J45" s="216"/>
      <c r="K45" s="63"/>
      <c r="L45" s="63">
        <f ca="1">IFERROR(__xludf.DUMMYFUNCTION("IMPORTRANGE(""https://docs.google.com/spreadsheets/d/1MeEWN-I1oV_STSDYn1IFDPWt_1FKiwhDph83XaGc0o0/edit?usp=sharing"",""งบพรบ!M9"")"),14734016)</f>
        <v>14734016</v>
      </c>
      <c r="M45" s="63">
        <f ca="1">IFERROR(__xludf.DUMMYFUNCTION("IMPORTRANGE(""https://docs.google.com/spreadsheets/d/1MeEWN-I1oV_STSDYn1IFDPWt_1FKiwhDph83XaGc0o0/edit?usp=sharing"",""งบพรบ!R9"")"),10635437.45)</f>
        <v>10635437.449999999</v>
      </c>
      <c r="N45" s="63">
        <f ca="1">IFERROR(__xludf.DUMMYFUNCTION("IMPORTRANGE(""https://docs.google.com/spreadsheets/d/1MeEWN-I1oV_STSDYn1IFDPWt_1FKiwhDph83XaGc0o0/edit?usp=sharing"",""งบพรบ!T9"")"),6912596.87)</f>
        <v>6912596.8700000001</v>
      </c>
      <c r="O45" s="63">
        <f t="shared" ca="1" si="34"/>
        <v>46.915904462164285</v>
      </c>
      <c r="P45" s="684">
        <f t="shared" ca="1" si="35"/>
        <v>64.995886652504367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0.25" customHeight="1">
      <c r="A46" s="683"/>
      <c r="B46" s="24"/>
      <c r="C46" s="24"/>
      <c r="D46" s="24"/>
      <c r="E46" s="226" t="s">
        <v>17</v>
      </c>
      <c r="F46" s="24"/>
      <c r="G46" s="25"/>
      <c r="H46" s="228" t="s">
        <v>12</v>
      </c>
      <c r="I46" s="216"/>
      <c r="J46" s="216"/>
      <c r="K46" s="63"/>
      <c r="L46" s="63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63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40446362.55)</f>
        <v>40446362.549999997</v>
      </c>
      <c r="N46" s="63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32328527.56)</f>
        <v>32328527.559999999</v>
      </c>
      <c r="O46" s="63">
        <f ca="1">IF(M46&gt;0,N46*100/M46,0)</f>
        <v>79.929381832631577</v>
      </c>
      <c r="P46" s="684">
        <f t="shared" ca="1" si="35"/>
        <v>79.929381832631577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0.25" customHeight="1">
      <c r="A47" s="681"/>
      <c r="B47" s="19"/>
      <c r="C47" s="19"/>
      <c r="D47" s="20" t="s">
        <v>19</v>
      </c>
      <c r="E47" s="19"/>
      <c r="F47" s="19"/>
      <c r="G47" s="21"/>
      <c r="H47" s="22" t="s">
        <v>12</v>
      </c>
      <c r="I47" s="526"/>
      <c r="J47" s="526"/>
      <c r="K47" s="23"/>
      <c r="L47" s="23">
        <f t="shared" ref="L47:N47" ca="1" si="39">L48+L49</f>
        <v>0</v>
      </c>
      <c r="M47" s="23">
        <f t="shared" ca="1" si="39"/>
        <v>0</v>
      </c>
      <c r="N47" s="23">
        <f t="shared" ca="1" si="39"/>
        <v>0</v>
      </c>
      <c r="O47" s="23">
        <f t="shared" ref="O47:O49" ca="1" si="40">IF(L47&gt;0,N47*100/L47,0)</f>
        <v>0</v>
      </c>
      <c r="P47" s="682">
        <f t="shared" ca="1" si="35"/>
        <v>0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0.25" customHeight="1">
      <c r="A48" s="683"/>
      <c r="B48" s="24"/>
      <c r="C48" s="24"/>
      <c r="D48" s="24"/>
      <c r="E48" s="226" t="s">
        <v>16</v>
      </c>
      <c r="F48" s="24"/>
      <c r="G48" s="25"/>
      <c r="H48" s="228" t="s">
        <v>12</v>
      </c>
      <c r="I48" s="216"/>
      <c r="J48" s="216"/>
      <c r="K48" s="63"/>
      <c r="L48" s="63">
        <f ca="1">IFERROR(__xludf.DUMMYFUNCTION("IMPORTRANGE(""https://docs.google.com/spreadsheets/d/1MeEWN-I1oV_STSDYn1IFDPWt_1FKiwhDph83XaGc0o0/edit?usp=sharing"",""งบพรบ!P9"")"),0)</f>
        <v>0</v>
      </c>
      <c r="M48" s="63">
        <f ca="1">IFERROR(__xludf.DUMMYFUNCTION("IMPORTRANGE(""https://docs.google.com/spreadsheets/d/1MeEWN-I1oV_STSDYn1IFDPWt_1FKiwhDph83XaGc0o0/edit?usp=sharing"",""งบพรบ!S9"")"),0)</f>
        <v>0</v>
      </c>
      <c r="N48" s="63">
        <f ca="1">IFERROR(__xludf.DUMMYFUNCTION("IMPORTRANGE(""https://docs.google.com/spreadsheets/d/1MeEWN-I1oV_STSDYn1IFDPWt_1FKiwhDph83XaGc0o0/edit?usp=sharing"",""งบพรบ!U9"")"),0)</f>
        <v>0</v>
      </c>
      <c r="O48" s="63">
        <f t="shared" ca="1" si="40"/>
        <v>0</v>
      </c>
      <c r="P48" s="684">
        <f t="shared" ca="1" si="35"/>
        <v>0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0.25" customHeight="1">
      <c r="A49" s="685"/>
      <c r="B49" s="26"/>
      <c r="C49" s="26"/>
      <c r="D49" s="26"/>
      <c r="E49" s="27" t="s">
        <v>17</v>
      </c>
      <c r="F49" s="26"/>
      <c r="G49" s="28"/>
      <c r="H49" s="29" t="s">
        <v>12</v>
      </c>
      <c r="I49" s="284"/>
      <c r="J49" s="284"/>
      <c r="K49" s="30"/>
      <c r="L49" s="30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0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0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0">
        <f t="shared" ca="1" si="40"/>
        <v>0</v>
      </c>
      <c r="P49" s="686">
        <f t="shared" ca="1" si="35"/>
        <v>0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0.25" customHeight="1">
      <c r="A50" s="872" t="s">
        <v>26</v>
      </c>
      <c r="B50" s="869"/>
      <c r="C50" s="869"/>
      <c r="D50" s="869"/>
      <c r="E50" s="869"/>
      <c r="F50" s="869"/>
      <c r="G50" s="870"/>
      <c r="H50" s="64"/>
      <c r="I50" s="65"/>
      <c r="J50" s="65"/>
      <c r="K50" s="66"/>
      <c r="L50" s="66"/>
      <c r="M50" s="66"/>
      <c r="N50" s="66"/>
      <c r="O50" s="66"/>
      <c r="P50" s="699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700"/>
      <c r="B51" s="865" t="s">
        <v>27</v>
      </c>
      <c r="C51" s="862"/>
      <c r="D51" s="862"/>
      <c r="E51" s="862"/>
      <c r="F51" s="862"/>
      <c r="G51" s="866"/>
      <c r="H51" s="67"/>
      <c r="I51" s="68"/>
      <c r="J51" s="68"/>
      <c r="K51" s="69"/>
      <c r="L51" s="69"/>
      <c r="M51" s="69"/>
      <c r="N51" s="69"/>
      <c r="O51" s="69"/>
      <c r="P51" s="701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702"/>
      <c r="B52" s="70" t="s">
        <v>28</v>
      </c>
      <c r="C52" s="71"/>
      <c r="D52" s="71"/>
      <c r="E52" s="71"/>
      <c r="F52" s="71"/>
      <c r="G52" s="72"/>
      <c r="H52" s="73"/>
      <c r="I52" s="74"/>
      <c r="J52" s="74"/>
      <c r="K52" s="75"/>
      <c r="L52" s="75"/>
      <c r="M52" s="75"/>
      <c r="N52" s="75"/>
      <c r="O52" s="75"/>
      <c r="P52" s="70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704"/>
      <c r="B53" s="76"/>
      <c r="C53" s="855" t="s">
        <v>14</v>
      </c>
      <c r="D53" s="77" t="s">
        <v>15</v>
      </c>
      <c r="E53" s="76"/>
      <c r="F53" s="76"/>
      <c r="G53" s="78"/>
      <c r="H53" s="79" t="s">
        <v>12</v>
      </c>
      <c r="I53" s="80"/>
      <c r="J53" s="80"/>
      <c r="K53" s="81"/>
      <c r="L53" s="81">
        <f t="shared" ref="L53:N53" ca="1" si="41">L54+L55</f>
        <v>245074100</v>
      </c>
      <c r="M53" s="81">
        <f t="shared" ca="1" si="41"/>
        <v>241679760</v>
      </c>
      <c r="N53" s="81">
        <f t="shared" ca="1" si="41"/>
        <v>210847014.72000003</v>
      </c>
      <c r="O53" s="81">
        <f t="shared" ref="O53:O61" ca="1" si="42">IF(L53&gt;0,N53*100/L53,0)</f>
        <v>86.033985117154373</v>
      </c>
      <c r="P53" s="705">
        <f t="shared" ref="P53:P61" ca="1" si="43">IF(M53&gt;0,N53*100/M53,0)</f>
        <v>87.242313845396083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0.25" customHeight="1">
      <c r="A54" s="706"/>
      <c r="B54" s="82"/>
      <c r="C54" s="82"/>
      <c r="D54" s="82"/>
      <c r="E54" s="83" t="s">
        <v>16</v>
      </c>
      <c r="F54" s="82"/>
      <c r="G54" s="84"/>
      <c r="H54" s="85" t="s">
        <v>12</v>
      </c>
      <c r="I54" s="86"/>
      <c r="J54" s="86"/>
      <c r="K54" s="87"/>
      <c r="L54" s="87">
        <f t="shared" ref="L54:N54" ca="1" si="44">L57+L60</f>
        <v>159779400</v>
      </c>
      <c r="M54" s="87">
        <f t="shared" ca="1" si="44"/>
        <v>158905617</v>
      </c>
      <c r="N54" s="87">
        <f t="shared" ca="1" si="44"/>
        <v>135752461.05000001</v>
      </c>
      <c r="O54" s="87">
        <f t="shared" ca="1" si="42"/>
        <v>84.962430106759712</v>
      </c>
      <c r="P54" s="707">
        <f t="shared" ca="1" si="43"/>
        <v>85.429617664176106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0.25" customHeight="1">
      <c r="A55" s="706"/>
      <c r="B55" s="82"/>
      <c r="C55" s="82"/>
      <c r="D55" s="82"/>
      <c r="E55" s="83" t="s">
        <v>17</v>
      </c>
      <c r="F55" s="82"/>
      <c r="G55" s="84"/>
      <c r="H55" s="85" t="s">
        <v>12</v>
      </c>
      <c r="I55" s="86"/>
      <c r="J55" s="86"/>
      <c r="K55" s="87"/>
      <c r="L55" s="87">
        <f t="shared" ref="L55:N55" ca="1" si="45">L58+L61</f>
        <v>85294700</v>
      </c>
      <c r="M55" s="87">
        <f t="shared" ca="1" si="45"/>
        <v>82774143</v>
      </c>
      <c r="N55" s="87">
        <f t="shared" ca="1" si="45"/>
        <v>75094553.670000002</v>
      </c>
      <c r="O55" s="87">
        <f t="shared" ca="1" si="42"/>
        <v>88.041289400162029</v>
      </c>
      <c r="P55" s="707">
        <f t="shared" ca="1" si="43"/>
        <v>90.722236375192679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0.25" customHeight="1">
      <c r="A56" s="681"/>
      <c r="B56" s="19"/>
      <c r="C56" s="19"/>
      <c r="D56" s="20" t="s">
        <v>18</v>
      </c>
      <c r="E56" s="19"/>
      <c r="F56" s="19"/>
      <c r="G56" s="21"/>
      <c r="H56" s="22" t="s">
        <v>12</v>
      </c>
      <c r="I56" s="526"/>
      <c r="J56" s="526"/>
      <c r="K56" s="23"/>
      <c r="L56" s="23">
        <f t="shared" ref="L56:N56" ca="1" si="46">L57+L58</f>
        <v>116483300</v>
      </c>
      <c r="M56" s="23">
        <f t="shared" ca="1" si="46"/>
        <v>118548200</v>
      </c>
      <c r="N56" s="23">
        <f t="shared" ca="1" si="46"/>
        <v>101435308.97999999</v>
      </c>
      <c r="O56" s="23">
        <f t="shared" ca="1" si="42"/>
        <v>87.081417662446015</v>
      </c>
      <c r="P56" s="682">
        <f t="shared" ca="1" si="43"/>
        <v>85.564613364015628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0.25" customHeight="1">
      <c r="A57" s="683"/>
      <c r="B57" s="24"/>
      <c r="C57" s="24"/>
      <c r="D57" s="24"/>
      <c r="E57" s="226" t="s">
        <v>16</v>
      </c>
      <c r="F57" s="24"/>
      <c r="G57" s="25"/>
      <c r="H57" s="228" t="s">
        <v>12</v>
      </c>
      <c r="I57" s="216"/>
      <c r="J57" s="216"/>
      <c r="K57" s="63"/>
      <c r="L57" s="63">
        <f ca="1">IFERROR(__xludf.DUMMYFUNCTION("IMPORTRANGE(""https://docs.google.com/spreadsheets/d/1MeEWN-I1oV_STSDYn1IFDPWt_1FKiwhDph83XaGc0o0/edit?usp=sharing"",""งบพรบ!W9"")"),64798700)</f>
        <v>64798700</v>
      </c>
      <c r="M57" s="63">
        <f ca="1">IFERROR(__xludf.DUMMYFUNCTION("IMPORTRANGE(""https://docs.google.com/spreadsheets/d/1MeEWN-I1oV_STSDYn1IFDPWt_1FKiwhDph83XaGc0o0/edit?usp=sharing"",""งบพรบ!AB9"")"),65657792)</f>
        <v>65657792</v>
      </c>
      <c r="N57" s="63">
        <f ca="1">IFERROR(__xludf.DUMMYFUNCTION("IMPORTRANGE(""https://docs.google.com/spreadsheets/d/1MeEWN-I1oV_STSDYn1IFDPWt_1FKiwhDph83XaGc0o0/edit?usp=sharing"",""งบพรบ!AD9"")"),55694184.05)</f>
        <v>55694184.049999997</v>
      </c>
      <c r="O57" s="63">
        <f t="shared" ca="1" si="42"/>
        <v>85.949539188286181</v>
      </c>
      <c r="P57" s="684">
        <f t="shared" ca="1" si="43"/>
        <v>84.824942102835251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0.25" customHeight="1">
      <c r="A58" s="683"/>
      <c r="B58" s="24"/>
      <c r="C58" s="24"/>
      <c r="D58" s="24"/>
      <c r="E58" s="226" t="s">
        <v>17</v>
      </c>
      <c r="F58" s="24"/>
      <c r="G58" s="25"/>
      <c r="H58" s="228" t="s">
        <v>12</v>
      </c>
      <c r="I58" s="216"/>
      <c r="J58" s="216"/>
      <c r="K58" s="63"/>
      <c r="L58" s="63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63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52890408)</f>
        <v>52890408</v>
      </c>
      <c r="N58" s="63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45741124.93)</f>
        <v>45741124.93</v>
      </c>
      <c r="O58" s="63">
        <f t="shared" ca="1" si="42"/>
        <v>88.500491306888321</v>
      </c>
      <c r="P58" s="684">
        <f t="shared" ca="1" si="43"/>
        <v>86.482836226183011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0.25" customHeight="1">
      <c r="A59" s="681"/>
      <c r="B59" s="19"/>
      <c r="C59" s="19"/>
      <c r="D59" s="20" t="s">
        <v>19</v>
      </c>
      <c r="E59" s="19"/>
      <c r="F59" s="19"/>
      <c r="G59" s="21"/>
      <c r="H59" s="22" t="s">
        <v>12</v>
      </c>
      <c r="I59" s="526"/>
      <c r="J59" s="526"/>
      <c r="K59" s="23"/>
      <c r="L59" s="23">
        <f t="shared" ref="L59:N59" ca="1" si="47">L60+L61</f>
        <v>128590800</v>
      </c>
      <c r="M59" s="23">
        <f t="shared" ca="1" si="47"/>
        <v>123131560</v>
      </c>
      <c r="N59" s="23">
        <f t="shared" ca="1" si="47"/>
        <v>109411705.73999999</v>
      </c>
      <c r="O59" s="23">
        <f t="shared" ca="1" si="42"/>
        <v>85.085173853806026</v>
      </c>
      <c r="P59" s="682">
        <f t="shared" ca="1" si="43"/>
        <v>88.857564819287603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0.25" customHeight="1">
      <c r="A60" s="683"/>
      <c r="B60" s="24"/>
      <c r="C60" s="24"/>
      <c r="D60" s="24"/>
      <c r="E60" s="226" t="s">
        <v>16</v>
      </c>
      <c r="F60" s="24"/>
      <c r="G60" s="25"/>
      <c r="H60" s="228" t="s">
        <v>12</v>
      </c>
      <c r="I60" s="216"/>
      <c r="J60" s="216"/>
      <c r="K60" s="63"/>
      <c r="L60" s="63">
        <f ca="1">IFERROR(__xludf.DUMMYFUNCTION("IMPORTRANGE(""https://docs.google.com/spreadsheets/d/1MeEWN-I1oV_STSDYn1IFDPWt_1FKiwhDph83XaGc0o0/edit?usp=sharing"",""งบพรบ!Z9"")"),94980700)</f>
        <v>94980700</v>
      </c>
      <c r="M60" s="63">
        <f ca="1">IFERROR(__xludf.DUMMYFUNCTION("IMPORTRANGE(""https://docs.google.com/spreadsheets/d/1MeEWN-I1oV_STSDYn1IFDPWt_1FKiwhDph83XaGc0o0/edit?usp=sharing"",""งบพรบ!AC9"")"),93247825)</f>
        <v>93247825</v>
      </c>
      <c r="N60" s="63">
        <f ca="1">IFERROR(__xludf.DUMMYFUNCTION("IMPORTRANGE(""https://docs.google.com/spreadsheets/d/1MeEWN-I1oV_STSDYn1IFDPWt_1FKiwhDph83XaGc0o0/edit?usp=sharing"",""งบพรบ!AE9"")"),80058277)</f>
        <v>80058277</v>
      </c>
      <c r="O60" s="63">
        <f t="shared" ca="1" si="42"/>
        <v>84.288994500988096</v>
      </c>
      <c r="P60" s="684">
        <f t="shared" ca="1" si="43"/>
        <v>85.855382685869614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0.25" customHeight="1">
      <c r="A61" s="685"/>
      <c r="B61" s="26"/>
      <c r="C61" s="26"/>
      <c r="D61" s="26"/>
      <c r="E61" s="27" t="s">
        <v>17</v>
      </c>
      <c r="F61" s="26"/>
      <c r="G61" s="28"/>
      <c r="H61" s="29" t="s">
        <v>12</v>
      </c>
      <c r="I61" s="284"/>
      <c r="J61" s="284"/>
      <c r="K61" s="30"/>
      <c r="L61" s="30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0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29883735)</f>
        <v>29883735</v>
      </c>
      <c r="N61" s="30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29353428.74)</f>
        <v>29353428.739999998</v>
      </c>
      <c r="O61" s="30">
        <f t="shared" ca="1" si="42"/>
        <v>87.33514253156045</v>
      </c>
      <c r="P61" s="686">
        <f t="shared" ca="1" si="43"/>
        <v>98.225435140553884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0.25" customHeight="1">
      <c r="A62" s="708" t="s">
        <v>29</v>
      </c>
      <c r="B62" s="88"/>
      <c r="C62" s="88"/>
      <c r="D62" s="88"/>
      <c r="E62" s="89"/>
      <c r="F62" s="89"/>
      <c r="G62" s="90"/>
      <c r="H62" s="91"/>
      <c r="I62" s="92"/>
      <c r="J62" s="92"/>
      <c r="K62" s="93"/>
      <c r="L62" s="93"/>
      <c r="M62" s="93"/>
      <c r="N62" s="93"/>
      <c r="O62" s="93"/>
      <c r="P62" s="709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710" t="s">
        <v>30</v>
      </c>
      <c r="B63" s="94"/>
      <c r="C63" s="95"/>
      <c r="D63" s="94"/>
      <c r="E63" s="94"/>
      <c r="F63" s="94"/>
      <c r="G63" s="96"/>
      <c r="H63" s="97"/>
      <c r="I63" s="98"/>
      <c r="J63" s="98"/>
      <c r="K63" s="99"/>
      <c r="L63" s="99"/>
      <c r="M63" s="99"/>
      <c r="N63" s="99"/>
      <c r="O63" s="99"/>
      <c r="P63" s="711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712"/>
      <c r="B64" s="171" t="s">
        <v>31</v>
      </c>
      <c r="C64" s="12"/>
      <c r="D64" s="100"/>
      <c r="E64" s="12"/>
      <c r="F64" s="12"/>
      <c r="G64" s="14"/>
      <c r="H64" s="169" t="s">
        <v>32</v>
      </c>
      <c r="I64" s="101">
        <f t="shared" ref="I64:J64" ca="1" si="48">I76</f>
        <v>40</v>
      </c>
      <c r="J64" s="101">
        <f t="shared" ca="1" si="48"/>
        <v>40</v>
      </c>
      <c r="K64" s="102">
        <f t="shared" ref="K64:K65" ca="1" si="49">IF(I64&gt;0,J64*100/I64,0)</f>
        <v>100</v>
      </c>
      <c r="L64" s="17"/>
      <c r="M64" s="17"/>
      <c r="N64" s="17"/>
      <c r="O64" s="17"/>
      <c r="P64" s="680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712"/>
      <c r="B65" s="12"/>
      <c r="C65" s="12"/>
      <c r="D65" s="100"/>
      <c r="E65" s="12"/>
      <c r="F65" s="12"/>
      <c r="G65" s="14"/>
      <c r="H65" s="169" t="s">
        <v>33</v>
      </c>
      <c r="I65" s="101">
        <f t="shared" ref="I65:J65" ca="1" si="50">I77</f>
        <v>1787</v>
      </c>
      <c r="J65" s="101">
        <f t="shared" ca="1" si="50"/>
        <v>1787</v>
      </c>
      <c r="K65" s="102">
        <f t="shared" ca="1" si="49"/>
        <v>100</v>
      </c>
      <c r="L65" s="17"/>
      <c r="M65" s="17"/>
      <c r="N65" s="17"/>
      <c r="O65" s="17"/>
      <c r="P65" s="680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713"/>
      <c r="B66" s="103"/>
      <c r="C66" s="856" t="s">
        <v>14</v>
      </c>
      <c r="D66" s="105" t="s">
        <v>15</v>
      </c>
      <c r="E66" s="103"/>
      <c r="F66" s="103"/>
      <c r="G66" s="106"/>
      <c r="H66" s="107" t="s">
        <v>12</v>
      </c>
      <c r="I66" s="108"/>
      <c r="J66" s="108"/>
      <c r="K66" s="109"/>
      <c r="L66" s="110">
        <f t="shared" ref="L66:N66" ca="1" si="51">L67+L68</f>
        <v>34572700</v>
      </c>
      <c r="M66" s="110">
        <f t="shared" ca="1" si="51"/>
        <v>34508700</v>
      </c>
      <c r="N66" s="110">
        <f t="shared" ca="1" si="51"/>
        <v>25243290.609999999</v>
      </c>
      <c r="O66" s="110">
        <f t="shared" ref="O66:O74" ca="1" si="52">IF(L66&gt;0,N66*100/L66,0)</f>
        <v>73.015097490216263</v>
      </c>
      <c r="P66" s="714">
        <f t="shared" ref="P66:P74" ca="1" si="53">IF(M66&gt;0,N66*100/M66,0)</f>
        <v>73.150511639093907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0.25" customHeight="1">
      <c r="A67" s="715"/>
      <c r="B67" s="24"/>
      <c r="C67" s="24"/>
      <c r="D67" s="24"/>
      <c r="E67" s="226" t="s">
        <v>16</v>
      </c>
      <c r="F67" s="24"/>
      <c r="G67" s="111"/>
      <c r="H67" s="112" t="s">
        <v>12</v>
      </c>
      <c r="I67" s="216"/>
      <c r="J67" s="216"/>
      <c r="K67" s="63"/>
      <c r="L67" s="63">
        <f t="shared" ref="L67:N67" ca="1" si="54">L70+L73</f>
        <v>5629800</v>
      </c>
      <c r="M67" s="63">
        <f t="shared" ca="1" si="54"/>
        <v>4999370</v>
      </c>
      <c r="N67" s="63">
        <f t="shared" ca="1" si="54"/>
        <v>3140765.36</v>
      </c>
      <c r="O67" s="63">
        <f t="shared" ca="1" si="52"/>
        <v>55.788222672208605</v>
      </c>
      <c r="P67" s="684">
        <f t="shared" ca="1" si="53"/>
        <v>62.82322292608869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0.25" customHeight="1">
      <c r="A68" s="715"/>
      <c r="B68" s="24"/>
      <c r="C68" s="24"/>
      <c r="D68" s="24"/>
      <c r="E68" s="226" t="s">
        <v>17</v>
      </c>
      <c r="F68" s="24"/>
      <c r="G68" s="111"/>
      <c r="H68" s="112" t="s">
        <v>12</v>
      </c>
      <c r="I68" s="216"/>
      <c r="J68" s="216"/>
      <c r="K68" s="63"/>
      <c r="L68" s="63">
        <f t="shared" ref="L68:N68" ca="1" si="55">L71+L74</f>
        <v>28942900</v>
      </c>
      <c r="M68" s="63">
        <f t="shared" ca="1" si="55"/>
        <v>29509330</v>
      </c>
      <c r="N68" s="63">
        <f t="shared" ca="1" si="55"/>
        <v>22102525.25</v>
      </c>
      <c r="O68" s="63">
        <f t="shared" ca="1" si="52"/>
        <v>76.365966264610663</v>
      </c>
      <c r="P68" s="684">
        <f t="shared" ca="1" si="53"/>
        <v>74.900125655174136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0.25" customHeight="1">
      <c r="A69" s="716"/>
      <c r="B69" s="19"/>
      <c r="C69" s="113"/>
      <c r="D69" s="20" t="s">
        <v>18</v>
      </c>
      <c r="E69" s="19"/>
      <c r="F69" s="19"/>
      <c r="G69" s="21"/>
      <c r="H69" s="114" t="s">
        <v>12</v>
      </c>
      <c r="I69" s="115"/>
      <c r="J69" s="115"/>
      <c r="K69" s="116"/>
      <c r="L69" s="23">
        <f t="shared" ref="L69:N69" ca="1" si="56">L70+L71</f>
        <v>34572700</v>
      </c>
      <c r="M69" s="23">
        <f t="shared" ca="1" si="56"/>
        <v>34508700</v>
      </c>
      <c r="N69" s="23">
        <f t="shared" ca="1" si="56"/>
        <v>25243290.609999999</v>
      </c>
      <c r="O69" s="23">
        <f t="shared" ca="1" si="52"/>
        <v>73.015097490216263</v>
      </c>
      <c r="P69" s="682">
        <f t="shared" ca="1" si="53"/>
        <v>73.150511639093907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0.25" customHeight="1">
      <c r="A70" s="715"/>
      <c r="B70" s="24"/>
      <c r="C70" s="113"/>
      <c r="D70" s="24"/>
      <c r="E70" s="226" t="s">
        <v>34</v>
      </c>
      <c r="F70" s="24"/>
      <c r="G70" s="111"/>
      <c r="H70" s="623" t="s">
        <v>12</v>
      </c>
      <c r="I70" s="128"/>
      <c r="J70" s="128"/>
      <c r="K70" s="117"/>
      <c r="L70" s="63">
        <f ca="1">IFERROR(__xludf.DUMMYFUNCTION("IMPORTRANGE(""https://docs.google.com/spreadsheets/d/1MeEWN-I1oV_STSDYn1IFDPWt_1FKiwhDph83XaGc0o0/edit?usp=sharing"",""งบพรบ!AG9"")"),5629800)</f>
        <v>5629800</v>
      </c>
      <c r="M70" s="63">
        <f ca="1">IFERROR(__xludf.DUMMYFUNCTION("IMPORTRANGE(""https://docs.google.com/spreadsheets/d/1MeEWN-I1oV_STSDYn1IFDPWt_1FKiwhDph83XaGc0o0/edit?usp=sharing"",""งบพรบ!AL9"")"),4999370)</f>
        <v>4999370</v>
      </c>
      <c r="N70" s="63">
        <f ca="1">IFERROR(__xludf.DUMMYFUNCTION("IMPORTRANGE(""https://docs.google.com/spreadsheets/d/1MeEWN-I1oV_STSDYn1IFDPWt_1FKiwhDph83XaGc0o0/edit?usp=sharing"",""งบพรบ!AN9"")"),3140765.36)</f>
        <v>3140765.36</v>
      </c>
      <c r="O70" s="63">
        <f t="shared" ca="1" si="52"/>
        <v>55.788222672208605</v>
      </c>
      <c r="P70" s="684">
        <f t="shared" ca="1" si="53"/>
        <v>62.82322292608869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0.25" customHeight="1">
      <c r="A71" s="715"/>
      <c r="B71" s="24"/>
      <c r="C71" s="113"/>
      <c r="D71" s="24"/>
      <c r="E71" s="226" t="s">
        <v>35</v>
      </c>
      <c r="F71" s="24"/>
      <c r="G71" s="111"/>
      <c r="H71" s="623" t="s">
        <v>12</v>
      </c>
      <c r="I71" s="128"/>
      <c r="J71" s="128"/>
      <c r="K71" s="117"/>
      <c r="L71" s="63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63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29509330)</f>
        <v>29509330</v>
      </c>
      <c r="N71" s="63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22102525.25)</f>
        <v>22102525.25</v>
      </c>
      <c r="O71" s="63">
        <f t="shared" ca="1" si="52"/>
        <v>76.365966264610663</v>
      </c>
      <c r="P71" s="684">
        <f t="shared" ca="1" si="53"/>
        <v>74.900125655174136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0.25" customHeight="1">
      <c r="A72" s="716"/>
      <c r="B72" s="19"/>
      <c r="C72" s="113"/>
      <c r="D72" s="20" t="s">
        <v>19</v>
      </c>
      <c r="E72" s="19"/>
      <c r="F72" s="19"/>
      <c r="G72" s="21"/>
      <c r="H72" s="118" t="s">
        <v>12</v>
      </c>
      <c r="I72" s="115"/>
      <c r="J72" s="115"/>
      <c r="K72" s="116"/>
      <c r="L72" s="23">
        <f t="shared" ref="L72:N72" ca="1" si="57">L73+L74</f>
        <v>0</v>
      </c>
      <c r="M72" s="23">
        <f t="shared" ca="1" si="57"/>
        <v>0</v>
      </c>
      <c r="N72" s="23">
        <f t="shared" ca="1" si="57"/>
        <v>0</v>
      </c>
      <c r="O72" s="23">
        <f t="shared" ca="1" si="52"/>
        <v>0</v>
      </c>
      <c r="P72" s="682">
        <f t="shared" ca="1" si="53"/>
        <v>0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0.25" customHeight="1">
      <c r="A73" s="715"/>
      <c r="B73" s="24"/>
      <c r="C73" s="113"/>
      <c r="D73" s="24"/>
      <c r="E73" s="226" t="s">
        <v>16</v>
      </c>
      <c r="F73" s="24"/>
      <c r="G73" s="111"/>
      <c r="H73" s="623" t="s">
        <v>12</v>
      </c>
      <c r="I73" s="128"/>
      <c r="J73" s="128"/>
      <c r="K73" s="117"/>
      <c r="L73" s="63">
        <f ca="1">IFERROR(__xludf.DUMMYFUNCTION("IMPORTRANGE(""https://docs.google.com/spreadsheets/d/1MeEWN-I1oV_STSDYn1IFDPWt_1FKiwhDph83XaGc0o0/edit?usp=sharing"",""งบพรบ!AJ9"")"),0)</f>
        <v>0</v>
      </c>
      <c r="M73" s="63">
        <f ca="1">IFERROR(__xludf.DUMMYFUNCTION("IMPORTRANGE(""https://docs.google.com/spreadsheets/d/1MeEWN-I1oV_STSDYn1IFDPWt_1FKiwhDph83XaGc0o0/edit?usp=sharing"",""งบพรบ!AM9"")"),0)</f>
        <v>0</v>
      </c>
      <c r="N73" s="63">
        <f ca="1">IFERROR(__xludf.DUMMYFUNCTION("IMPORTRANGE(""https://docs.google.com/spreadsheets/d/1MeEWN-I1oV_STSDYn1IFDPWt_1FKiwhDph83XaGc0o0/edit?usp=sharing"",""งบพรบ!AO9"")"),0)</f>
        <v>0</v>
      </c>
      <c r="O73" s="63">
        <f t="shared" ca="1" si="52"/>
        <v>0</v>
      </c>
      <c r="P73" s="684">
        <f t="shared" ca="1" si="53"/>
        <v>0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0.25" customHeight="1">
      <c r="A74" s="715"/>
      <c r="B74" s="24"/>
      <c r="C74" s="113"/>
      <c r="D74" s="24"/>
      <c r="E74" s="226" t="s">
        <v>17</v>
      </c>
      <c r="F74" s="24"/>
      <c r="G74" s="111"/>
      <c r="H74" s="119" t="s">
        <v>12</v>
      </c>
      <c r="I74" s="128"/>
      <c r="J74" s="128"/>
      <c r="K74" s="117"/>
      <c r="L74" s="63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63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63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63">
        <f t="shared" ca="1" si="52"/>
        <v>0</v>
      </c>
      <c r="P74" s="684">
        <f t="shared" ca="1" si="53"/>
        <v>0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0.25" customHeight="1">
      <c r="A75" s="717"/>
      <c r="B75" s="120"/>
      <c r="C75" s="857" t="s">
        <v>14</v>
      </c>
      <c r="D75" s="121" t="s">
        <v>36</v>
      </c>
      <c r="E75" s="122"/>
      <c r="F75" s="122"/>
      <c r="G75" s="123"/>
      <c r="H75" s="599"/>
      <c r="I75" s="128"/>
      <c r="J75" s="128"/>
      <c r="K75" s="117"/>
      <c r="L75" s="117"/>
      <c r="M75" s="117"/>
      <c r="N75" s="117"/>
      <c r="O75" s="117"/>
      <c r="P75" s="718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717"/>
      <c r="B76" s="120"/>
      <c r="C76" s="120"/>
      <c r="D76" s="124" t="s">
        <v>37</v>
      </c>
      <c r="E76" s="347"/>
      <c r="F76" s="125"/>
      <c r="G76" s="126"/>
      <c r="H76" s="127" t="s">
        <v>32</v>
      </c>
      <c r="I76" s="526">
        <f t="shared" ref="I76:J76" ca="1" si="58">I78+I80+I82</f>
        <v>40</v>
      </c>
      <c r="J76" s="526">
        <f t="shared" ca="1" si="58"/>
        <v>40</v>
      </c>
      <c r="K76" s="116">
        <f t="shared" ref="K76:K84" ca="1" si="59">IF(I76&gt;0,J76*100/I76,0)</f>
        <v>100</v>
      </c>
      <c r="L76" s="117"/>
      <c r="M76" s="117"/>
      <c r="N76" s="117"/>
      <c r="O76" s="117"/>
      <c r="P76" s="718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717"/>
      <c r="B77" s="120"/>
      <c r="C77" s="120"/>
      <c r="D77" s="120"/>
      <c r="E77" s="125"/>
      <c r="F77" s="125"/>
      <c r="G77" s="126"/>
      <c r="H77" s="127" t="s">
        <v>33</v>
      </c>
      <c r="I77" s="526">
        <f t="shared" ref="I77:J77" ca="1" si="60">I79+I81+I83</f>
        <v>1787</v>
      </c>
      <c r="J77" s="526">
        <f t="shared" ca="1" si="60"/>
        <v>1787</v>
      </c>
      <c r="K77" s="116">
        <f t="shared" ca="1" si="59"/>
        <v>100</v>
      </c>
      <c r="L77" s="117"/>
      <c r="M77" s="117"/>
      <c r="N77" s="117"/>
      <c r="O77" s="117"/>
      <c r="P77" s="718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717"/>
      <c r="B78" s="120"/>
      <c r="C78" s="120"/>
      <c r="D78" s="120"/>
      <c r="E78" s="347" t="s">
        <v>38</v>
      </c>
      <c r="F78" s="347"/>
      <c r="G78" s="126"/>
      <c r="H78" s="601" t="s">
        <v>32</v>
      </c>
      <c r="I78" s="128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4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17">
        <f t="shared" ca="1" si="59"/>
        <v>100</v>
      </c>
      <c r="L78" s="117"/>
      <c r="M78" s="117"/>
      <c r="N78" s="117"/>
      <c r="O78" s="117"/>
      <c r="P78" s="718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717"/>
      <c r="B79" s="120"/>
      <c r="C79" s="120"/>
      <c r="D79" s="120"/>
      <c r="E79" s="125"/>
      <c r="F79" s="125"/>
      <c r="G79" s="126"/>
      <c r="H79" s="601" t="s">
        <v>33</v>
      </c>
      <c r="I79" s="128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4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17">
        <f t="shared" ca="1" si="59"/>
        <v>100</v>
      </c>
      <c r="L79" s="117"/>
      <c r="M79" s="117"/>
      <c r="N79" s="117"/>
      <c r="O79" s="117"/>
      <c r="P79" s="718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717"/>
      <c r="B80" s="120"/>
      <c r="C80" s="120"/>
      <c r="D80" s="120"/>
      <c r="E80" s="347" t="s">
        <v>39</v>
      </c>
      <c r="F80" s="347"/>
      <c r="G80" s="126"/>
      <c r="H80" s="601" t="s">
        <v>32</v>
      </c>
      <c r="I80" s="128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4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17">
        <f t="shared" ca="1" si="59"/>
        <v>100</v>
      </c>
      <c r="L80" s="117"/>
      <c r="M80" s="117"/>
      <c r="N80" s="117"/>
      <c r="O80" s="117"/>
      <c r="P80" s="718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717"/>
      <c r="B81" s="120"/>
      <c r="C81" s="120"/>
      <c r="D81" s="120"/>
      <c r="E81" s="125"/>
      <c r="F81" s="125"/>
      <c r="G81" s="126"/>
      <c r="H81" s="601" t="s">
        <v>33</v>
      </c>
      <c r="I81" s="128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4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17">
        <f t="shared" ca="1" si="59"/>
        <v>100</v>
      </c>
      <c r="L81" s="117"/>
      <c r="M81" s="117"/>
      <c r="N81" s="117"/>
      <c r="O81" s="117"/>
      <c r="P81" s="718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717"/>
      <c r="B82" s="120"/>
      <c r="C82" s="120"/>
      <c r="D82" s="120"/>
      <c r="E82" s="347" t="s">
        <v>40</v>
      </c>
      <c r="F82" s="347"/>
      <c r="G82" s="126"/>
      <c r="H82" s="601" t="s">
        <v>32</v>
      </c>
      <c r="I82" s="128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4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17">
        <f t="shared" ca="1" si="59"/>
        <v>100</v>
      </c>
      <c r="L82" s="117"/>
      <c r="M82" s="117"/>
      <c r="N82" s="117"/>
      <c r="O82" s="117"/>
      <c r="P82" s="718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717"/>
      <c r="B83" s="120"/>
      <c r="C83" s="120"/>
      <c r="D83" s="120"/>
      <c r="E83" s="125"/>
      <c r="F83" s="125"/>
      <c r="G83" s="126"/>
      <c r="H83" s="601" t="s">
        <v>33</v>
      </c>
      <c r="I83" s="128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4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17">
        <f t="shared" ca="1" si="59"/>
        <v>100</v>
      </c>
      <c r="L83" s="117"/>
      <c r="M83" s="117"/>
      <c r="N83" s="117"/>
      <c r="O83" s="117"/>
      <c r="P83" s="718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717"/>
      <c r="B84" s="120"/>
      <c r="C84" s="120"/>
      <c r="D84" s="124" t="s">
        <v>41</v>
      </c>
      <c r="E84" s="347"/>
      <c r="F84" s="125"/>
      <c r="G84" s="126"/>
      <c r="H84" s="622" t="s">
        <v>32</v>
      </c>
      <c r="I84" s="128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4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14)</f>
        <v>14</v>
      </c>
      <c r="K84" s="117">
        <f t="shared" ca="1" si="59"/>
        <v>35</v>
      </c>
      <c r="L84" s="117"/>
      <c r="M84" s="117"/>
      <c r="N84" s="117"/>
      <c r="O84" s="117"/>
      <c r="P84" s="718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719" t="s">
        <v>42</v>
      </c>
      <c r="B85" s="129"/>
      <c r="C85" s="130"/>
      <c r="D85" s="129"/>
      <c r="E85" s="129"/>
      <c r="F85" s="129"/>
      <c r="G85" s="131"/>
      <c r="H85" s="132"/>
      <c r="I85" s="133"/>
      <c r="J85" s="133"/>
      <c r="K85" s="134"/>
      <c r="L85" s="134"/>
      <c r="M85" s="134"/>
      <c r="N85" s="134"/>
      <c r="O85" s="134"/>
      <c r="P85" s="720"/>
    </row>
    <row r="86" spans="1:26" ht="20.25" customHeight="1">
      <c r="A86" s="721"/>
      <c r="B86" s="135" t="s">
        <v>43</v>
      </c>
      <c r="C86" s="136"/>
      <c r="D86" s="137"/>
      <c r="E86" s="136"/>
      <c r="F86" s="136"/>
      <c r="G86" s="138"/>
      <c r="H86" s="139" t="s">
        <v>44</v>
      </c>
      <c r="I86" s="140">
        <f t="shared" ref="I86:J86" ca="1" si="61">I98</f>
        <v>2700</v>
      </c>
      <c r="J86" s="140">
        <f t="shared" ca="1" si="61"/>
        <v>2700</v>
      </c>
      <c r="K86" s="141">
        <f t="shared" ref="K86:K87" ca="1" si="62">IF(I86&gt;0,J86*100/I86,0)</f>
        <v>100</v>
      </c>
      <c r="L86" s="142"/>
      <c r="M86" s="142"/>
      <c r="N86" s="142"/>
      <c r="O86" s="142"/>
      <c r="P86" s="722"/>
    </row>
    <row r="87" spans="1:26" ht="20.25" customHeight="1">
      <c r="A87" s="721"/>
      <c r="B87" s="136"/>
      <c r="C87" s="136"/>
      <c r="D87" s="137"/>
      <c r="E87" s="136"/>
      <c r="F87" s="136"/>
      <c r="G87" s="138"/>
      <c r="H87" s="139" t="s">
        <v>33</v>
      </c>
      <c r="I87" s="140">
        <f t="shared" ref="I87:J87" ca="1" si="63">I99</f>
        <v>900</v>
      </c>
      <c r="J87" s="140">
        <f t="shared" ca="1" si="63"/>
        <v>900</v>
      </c>
      <c r="K87" s="141">
        <f t="shared" ca="1" si="62"/>
        <v>100</v>
      </c>
      <c r="L87" s="142"/>
      <c r="M87" s="142"/>
      <c r="N87" s="142"/>
      <c r="O87" s="142"/>
      <c r="P87" s="722"/>
    </row>
    <row r="88" spans="1:26" ht="20.25" customHeight="1">
      <c r="A88" s="713"/>
      <c r="B88" s="103"/>
      <c r="C88" s="856" t="s">
        <v>14</v>
      </c>
      <c r="D88" s="105" t="s">
        <v>15</v>
      </c>
      <c r="E88" s="103"/>
      <c r="F88" s="103"/>
      <c r="G88" s="106"/>
      <c r="H88" s="107" t="s">
        <v>12</v>
      </c>
      <c r="I88" s="108"/>
      <c r="J88" s="108"/>
      <c r="K88" s="109"/>
      <c r="L88" s="110">
        <f t="shared" ref="L88:N88" ca="1" si="64">L89+L90</f>
        <v>12761700</v>
      </c>
      <c r="M88" s="110">
        <f t="shared" ca="1" si="64"/>
        <v>12761700</v>
      </c>
      <c r="N88" s="110">
        <f t="shared" ca="1" si="64"/>
        <v>9181808.2699999996</v>
      </c>
      <c r="O88" s="110">
        <f t="shared" ref="O88:O96" ca="1" si="65">IF(L88&gt;0,N88*100/L88,0)</f>
        <v>71.948159492857528</v>
      </c>
      <c r="P88" s="714">
        <f t="shared" ref="P88:P96" ca="1" si="66">IF(M88&gt;0,N88*100/M88,0)</f>
        <v>71.948159492857528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0.25" customHeight="1">
      <c r="A89" s="715"/>
      <c r="B89" s="24"/>
      <c r="C89" s="24"/>
      <c r="D89" s="24"/>
      <c r="E89" s="226" t="s">
        <v>16</v>
      </c>
      <c r="F89" s="24"/>
      <c r="G89" s="111"/>
      <c r="H89" s="112" t="s">
        <v>12</v>
      </c>
      <c r="I89" s="216"/>
      <c r="J89" s="216"/>
      <c r="K89" s="63"/>
      <c r="L89" s="63">
        <f t="shared" ref="L89:N89" ca="1" si="67">L92+L95</f>
        <v>1697900</v>
      </c>
      <c r="M89" s="63">
        <f t="shared" ca="1" si="67"/>
        <v>1648495</v>
      </c>
      <c r="N89" s="63">
        <f t="shared" ca="1" si="67"/>
        <v>669187.18999999994</v>
      </c>
      <c r="O89" s="63">
        <f t="shared" ca="1" si="65"/>
        <v>39.412638553507271</v>
      </c>
      <c r="P89" s="684">
        <f t="shared" ca="1" si="66"/>
        <v>40.593825883608986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0.25" customHeight="1">
      <c r="A90" s="715"/>
      <c r="B90" s="24"/>
      <c r="C90" s="24"/>
      <c r="D90" s="24"/>
      <c r="E90" s="226" t="s">
        <v>17</v>
      </c>
      <c r="F90" s="24"/>
      <c r="G90" s="111"/>
      <c r="H90" s="112" t="s">
        <v>12</v>
      </c>
      <c r="I90" s="216"/>
      <c r="J90" s="216"/>
      <c r="K90" s="63"/>
      <c r="L90" s="63">
        <f t="shared" ref="L90:N90" ca="1" si="68">L93+L96</f>
        <v>11063800</v>
      </c>
      <c r="M90" s="63">
        <f t="shared" ca="1" si="68"/>
        <v>11113205</v>
      </c>
      <c r="N90" s="63">
        <f t="shared" ca="1" si="68"/>
        <v>8512621.0800000001</v>
      </c>
      <c r="O90" s="63">
        <f t="shared" ca="1" si="65"/>
        <v>76.941205372476006</v>
      </c>
      <c r="P90" s="684">
        <f t="shared" ca="1" si="66"/>
        <v>76.599154609313871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0.25" customHeight="1">
      <c r="A91" s="716"/>
      <c r="B91" s="19"/>
      <c r="C91" s="113"/>
      <c r="D91" s="20" t="s">
        <v>18</v>
      </c>
      <c r="E91" s="19"/>
      <c r="F91" s="19"/>
      <c r="G91" s="21"/>
      <c r="H91" s="114" t="s">
        <v>12</v>
      </c>
      <c r="I91" s="115"/>
      <c r="J91" s="115"/>
      <c r="K91" s="116"/>
      <c r="L91" s="23">
        <f t="shared" ref="L91:N91" ca="1" si="69">L92+L93</f>
        <v>12761700</v>
      </c>
      <c r="M91" s="23">
        <f t="shared" ca="1" si="69"/>
        <v>12761700</v>
      </c>
      <c r="N91" s="23">
        <f t="shared" ca="1" si="69"/>
        <v>9181808.2699999996</v>
      </c>
      <c r="O91" s="23">
        <f t="shared" ca="1" si="65"/>
        <v>71.948159492857528</v>
      </c>
      <c r="P91" s="682">
        <f t="shared" ca="1" si="66"/>
        <v>71.948159492857528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0.25" customHeight="1">
      <c r="A92" s="715"/>
      <c r="B92" s="24"/>
      <c r="C92" s="113"/>
      <c r="D92" s="24"/>
      <c r="E92" s="226" t="s">
        <v>34</v>
      </c>
      <c r="F92" s="24"/>
      <c r="G92" s="111"/>
      <c r="H92" s="623" t="s">
        <v>12</v>
      </c>
      <c r="I92" s="128"/>
      <c r="J92" s="128"/>
      <c r="K92" s="117"/>
      <c r="L92" s="63">
        <f ca="1">IFERROR(__xludf.DUMMYFUNCTION("IMPORTRANGE(""https://docs.google.com/spreadsheets/d/1MeEWN-I1oV_STSDYn1IFDPWt_1FKiwhDph83XaGc0o0/edit?usp=sharing"",""งบพรบ!AQ9"")"),1697900)</f>
        <v>1697900</v>
      </c>
      <c r="M92" s="63">
        <f ca="1">IFERROR(__xludf.DUMMYFUNCTION("IMPORTRANGE(""https://docs.google.com/spreadsheets/d/1MeEWN-I1oV_STSDYn1IFDPWt_1FKiwhDph83XaGc0o0/edit?usp=sharing"",""งบพรบ!AV9"")"),1648495)</f>
        <v>1648495</v>
      </c>
      <c r="N92" s="63">
        <f ca="1">IFERROR(__xludf.DUMMYFUNCTION("IMPORTRANGE(""https://docs.google.com/spreadsheets/d/1MeEWN-I1oV_STSDYn1IFDPWt_1FKiwhDph83XaGc0o0/edit?usp=sharing"",""งบพรบ!AX9"")"),669187.19)</f>
        <v>669187.18999999994</v>
      </c>
      <c r="O92" s="63">
        <f t="shared" ca="1" si="65"/>
        <v>39.412638553507271</v>
      </c>
      <c r="P92" s="684">
        <f t="shared" ca="1" si="66"/>
        <v>40.593825883608986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0.25" customHeight="1">
      <c r="A93" s="715"/>
      <c r="B93" s="24"/>
      <c r="C93" s="113"/>
      <c r="D93" s="24"/>
      <c r="E93" s="226" t="s">
        <v>35</v>
      </c>
      <c r="F93" s="24"/>
      <c r="G93" s="111"/>
      <c r="H93" s="623" t="s">
        <v>12</v>
      </c>
      <c r="I93" s="128"/>
      <c r="J93" s="128"/>
      <c r="K93" s="117"/>
      <c r="L93" s="63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63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11113205)</f>
        <v>11113205</v>
      </c>
      <c r="N93" s="63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8512621.08)</f>
        <v>8512621.0800000001</v>
      </c>
      <c r="O93" s="63">
        <f t="shared" ca="1" si="65"/>
        <v>76.941205372476006</v>
      </c>
      <c r="P93" s="684">
        <f t="shared" ca="1" si="66"/>
        <v>76.599154609313871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0.25" customHeight="1">
      <c r="A94" s="716"/>
      <c r="B94" s="19"/>
      <c r="C94" s="113"/>
      <c r="D94" s="20" t="s">
        <v>19</v>
      </c>
      <c r="E94" s="19"/>
      <c r="F94" s="19"/>
      <c r="G94" s="21"/>
      <c r="H94" s="118" t="s">
        <v>12</v>
      </c>
      <c r="I94" s="115"/>
      <c r="J94" s="115"/>
      <c r="K94" s="116"/>
      <c r="L94" s="23">
        <f t="shared" ref="L94:N94" ca="1" si="70">L95+L96</f>
        <v>0</v>
      </c>
      <c r="M94" s="23">
        <f t="shared" ca="1" si="70"/>
        <v>0</v>
      </c>
      <c r="N94" s="23">
        <f t="shared" ca="1" si="70"/>
        <v>0</v>
      </c>
      <c r="O94" s="23">
        <f t="shared" ca="1" si="65"/>
        <v>0</v>
      </c>
      <c r="P94" s="682">
        <f t="shared" ca="1" si="66"/>
        <v>0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0.25" customHeight="1">
      <c r="A95" s="715"/>
      <c r="B95" s="24"/>
      <c r="C95" s="113"/>
      <c r="D95" s="24"/>
      <c r="E95" s="226" t="s">
        <v>16</v>
      </c>
      <c r="F95" s="24"/>
      <c r="G95" s="111"/>
      <c r="H95" s="623" t="s">
        <v>12</v>
      </c>
      <c r="I95" s="128"/>
      <c r="J95" s="128"/>
      <c r="K95" s="117"/>
      <c r="L95" s="63">
        <f ca="1">IFERROR(__xludf.DUMMYFUNCTION("IMPORTRANGE(""https://docs.google.com/spreadsheets/d/1MeEWN-I1oV_STSDYn1IFDPWt_1FKiwhDph83XaGc0o0/edit?usp=sharing"",""งบพรบ!AT9"")"),0)</f>
        <v>0</v>
      </c>
      <c r="M95" s="63">
        <f ca="1">IFERROR(__xludf.DUMMYFUNCTION("IMPORTRANGE(""https://docs.google.com/spreadsheets/d/1MeEWN-I1oV_STSDYn1IFDPWt_1FKiwhDph83XaGc0o0/edit?usp=sharing"",""งบพรบ!AW9"")"),0)</f>
        <v>0</v>
      </c>
      <c r="N95" s="63">
        <f ca="1">IFERROR(__xludf.DUMMYFUNCTION("IMPORTRANGE(""https://docs.google.com/spreadsheets/d/1MeEWN-I1oV_STSDYn1IFDPWt_1FKiwhDph83XaGc0o0/edit?usp=sharing"",""งบพรบ!AY9"")"),0)</f>
        <v>0</v>
      </c>
      <c r="O95" s="63">
        <f t="shared" ca="1" si="65"/>
        <v>0</v>
      </c>
      <c r="P95" s="684">
        <f t="shared" ca="1" si="66"/>
        <v>0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0.25" customHeight="1">
      <c r="A96" s="715"/>
      <c r="B96" s="24"/>
      <c r="C96" s="113"/>
      <c r="D96" s="24"/>
      <c r="E96" s="226" t="s">
        <v>17</v>
      </c>
      <c r="F96" s="24"/>
      <c r="G96" s="111"/>
      <c r="H96" s="119" t="s">
        <v>12</v>
      </c>
      <c r="I96" s="128"/>
      <c r="J96" s="128"/>
      <c r="K96" s="117"/>
      <c r="L96" s="63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63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63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63">
        <f t="shared" ca="1" si="65"/>
        <v>0</v>
      </c>
      <c r="P96" s="684">
        <f t="shared" ca="1" si="66"/>
        <v>0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16" ht="20.25" customHeight="1">
      <c r="A97" s="723"/>
      <c r="B97" s="143"/>
      <c r="C97" s="858" t="s">
        <v>14</v>
      </c>
      <c r="D97" s="144" t="s">
        <v>36</v>
      </c>
      <c r="E97" s="145"/>
      <c r="F97" s="145"/>
      <c r="G97" s="146"/>
      <c r="H97" s="147"/>
      <c r="I97" s="313"/>
      <c r="J97" s="307"/>
      <c r="K97" s="400"/>
      <c r="L97" s="400"/>
      <c r="M97" s="400"/>
      <c r="N97" s="400"/>
      <c r="O97" s="148"/>
      <c r="P97" s="724"/>
    </row>
    <row r="98" spans="1:16" ht="20.25" customHeight="1">
      <c r="A98" s="723"/>
      <c r="B98" s="143"/>
      <c r="C98" s="143"/>
      <c r="D98" s="149" t="s">
        <v>45</v>
      </c>
      <c r="E98" s="149"/>
      <c r="F98" s="150"/>
      <c r="G98" s="151"/>
      <c r="H98" s="517" t="s">
        <v>44</v>
      </c>
      <c r="I98" s="307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07">
        <f ca="1">J102</f>
        <v>2700</v>
      </c>
      <c r="K98" s="400">
        <f t="shared" ref="K98:K100" ca="1" si="71">IF(I98&gt;0,J98*100/I98,0)</f>
        <v>100</v>
      </c>
      <c r="L98" s="400"/>
      <c r="M98" s="400"/>
      <c r="N98" s="400"/>
      <c r="O98" s="148"/>
      <c r="P98" s="724"/>
    </row>
    <row r="99" spans="1:16" ht="20.25" customHeight="1">
      <c r="A99" s="723"/>
      <c r="B99" s="143"/>
      <c r="C99" s="143"/>
      <c r="D99" s="149" t="s">
        <v>46</v>
      </c>
      <c r="E99" s="149"/>
      <c r="F99" s="150"/>
      <c r="G99" s="151"/>
      <c r="H99" s="517" t="s">
        <v>33</v>
      </c>
      <c r="I99" s="307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07">
        <f ca="1">J104</f>
        <v>900</v>
      </c>
      <c r="K99" s="400">
        <f t="shared" ca="1" si="71"/>
        <v>100</v>
      </c>
      <c r="L99" s="400"/>
      <c r="M99" s="400"/>
      <c r="N99" s="400"/>
      <c r="O99" s="148"/>
      <c r="P99" s="724"/>
    </row>
    <row r="100" spans="1:16" ht="20.25" customHeight="1">
      <c r="A100" s="723"/>
      <c r="B100" s="143"/>
      <c r="C100" s="143"/>
      <c r="D100" s="143"/>
      <c r="E100" s="150"/>
      <c r="F100" s="150"/>
      <c r="G100" s="151"/>
      <c r="H100" s="517" t="s">
        <v>47</v>
      </c>
      <c r="I100" s="307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07">
        <f ca="1">J107+J110</f>
        <v>101</v>
      </c>
      <c r="K100" s="400">
        <f t="shared" ca="1" si="71"/>
        <v>84.166666666666671</v>
      </c>
      <c r="L100" s="400"/>
      <c r="M100" s="400"/>
      <c r="N100" s="400"/>
      <c r="O100" s="148"/>
      <c r="P100" s="724"/>
    </row>
    <row r="101" spans="1:16" ht="20.25" customHeight="1">
      <c r="A101" s="723"/>
      <c r="B101" s="143"/>
      <c r="C101" s="143"/>
      <c r="D101" s="150"/>
      <c r="E101" s="155" t="s">
        <v>48</v>
      </c>
      <c r="F101" s="150"/>
      <c r="G101" s="151"/>
      <c r="H101" s="517"/>
      <c r="I101" s="307"/>
      <c r="J101" s="307"/>
      <c r="K101" s="400"/>
      <c r="L101" s="400"/>
      <c r="M101" s="400"/>
      <c r="N101" s="400"/>
      <c r="O101" s="148"/>
      <c r="P101" s="724"/>
    </row>
    <row r="102" spans="1:16" ht="20.25" customHeight="1">
      <c r="A102" s="723"/>
      <c r="B102" s="143"/>
      <c r="C102" s="143"/>
      <c r="D102" s="150"/>
      <c r="E102" s="519" t="s">
        <v>45</v>
      </c>
      <c r="F102" s="150"/>
      <c r="G102" s="151"/>
      <c r="H102" s="517" t="s">
        <v>44</v>
      </c>
      <c r="I102" s="307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635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00">
        <f t="shared" ref="K102:K104" ca="1" si="72">IF(I102&gt;0,J102*100/I102,0)</f>
        <v>100</v>
      </c>
      <c r="L102" s="400"/>
      <c r="M102" s="400"/>
      <c r="N102" s="400"/>
      <c r="O102" s="148"/>
      <c r="P102" s="724"/>
    </row>
    <row r="103" spans="1:16" ht="20.25" customHeight="1">
      <c r="A103" s="723"/>
      <c r="B103" s="143"/>
      <c r="C103" s="143"/>
      <c r="D103" s="150"/>
      <c r="E103" s="149" t="s">
        <v>49</v>
      </c>
      <c r="F103" s="150"/>
      <c r="G103" s="151"/>
      <c r="H103" s="517" t="s">
        <v>33</v>
      </c>
      <c r="I103" s="307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635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400">
        <f t="shared" ca="1" si="72"/>
        <v>100</v>
      </c>
      <c r="L103" s="400"/>
      <c r="M103" s="400"/>
      <c r="N103" s="400"/>
      <c r="O103" s="148"/>
      <c r="P103" s="724"/>
    </row>
    <row r="104" spans="1:16" ht="20.25" customHeight="1">
      <c r="A104" s="723"/>
      <c r="B104" s="143"/>
      <c r="C104" s="143"/>
      <c r="D104" s="150"/>
      <c r="E104" s="152" t="s">
        <v>50</v>
      </c>
      <c r="F104" s="150"/>
      <c r="G104" s="151"/>
      <c r="H104" s="517" t="s">
        <v>33</v>
      </c>
      <c r="I104" s="307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635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400">
        <f t="shared" ca="1" si="72"/>
        <v>100</v>
      </c>
      <c r="L104" s="400"/>
      <c r="M104" s="400"/>
      <c r="N104" s="400"/>
      <c r="O104" s="148"/>
      <c r="P104" s="724"/>
    </row>
    <row r="105" spans="1:16" ht="20.25" customHeight="1">
      <c r="A105" s="723"/>
      <c r="B105" s="143"/>
      <c r="C105" s="143"/>
      <c r="D105" s="150"/>
      <c r="E105" s="155" t="s">
        <v>51</v>
      </c>
      <c r="F105" s="150"/>
      <c r="G105" s="151"/>
      <c r="H105" s="153"/>
      <c r="I105" s="307"/>
      <c r="J105" s="307"/>
      <c r="K105" s="400"/>
      <c r="L105" s="400"/>
      <c r="M105" s="400"/>
      <c r="N105" s="400"/>
      <c r="O105" s="148"/>
      <c r="P105" s="724"/>
    </row>
    <row r="106" spans="1:16" ht="20.25" customHeight="1">
      <c r="A106" s="723"/>
      <c r="B106" s="143"/>
      <c r="C106" s="143"/>
      <c r="D106" s="150"/>
      <c r="E106" s="149" t="s">
        <v>52</v>
      </c>
      <c r="F106" s="150"/>
      <c r="G106" s="151"/>
      <c r="H106" s="517" t="s">
        <v>47</v>
      </c>
      <c r="I106" s="307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635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59)</f>
        <v>59</v>
      </c>
      <c r="K106" s="400">
        <f t="shared" ref="K106:K107" ca="1" si="73">IF(I106&gt;0,J106*100/I106,0)</f>
        <v>98.333333333333329</v>
      </c>
      <c r="L106" s="400"/>
      <c r="M106" s="400"/>
      <c r="N106" s="400"/>
      <c r="O106" s="148"/>
      <c r="P106" s="724"/>
    </row>
    <row r="107" spans="1:16" ht="20.25" customHeight="1">
      <c r="A107" s="723"/>
      <c r="B107" s="143"/>
      <c r="C107" s="143"/>
      <c r="D107" s="150"/>
      <c r="E107" s="152" t="s">
        <v>53</v>
      </c>
      <c r="F107" s="150"/>
      <c r="G107" s="151"/>
      <c r="H107" s="517" t="s">
        <v>47</v>
      </c>
      <c r="I107" s="307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635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58)</f>
        <v>58</v>
      </c>
      <c r="K107" s="400">
        <f t="shared" ca="1" si="73"/>
        <v>96.666666666666671</v>
      </c>
      <c r="L107" s="400"/>
      <c r="M107" s="400"/>
      <c r="N107" s="400"/>
      <c r="O107" s="148"/>
      <c r="P107" s="724"/>
    </row>
    <row r="108" spans="1:16" ht="20.25" customHeight="1">
      <c r="A108" s="723"/>
      <c r="B108" s="143"/>
      <c r="C108" s="143"/>
      <c r="D108" s="150"/>
      <c r="E108" s="155" t="s">
        <v>54</v>
      </c>
      <c r="F108" s="150"/>
      <c r="G108" s="151"/>
      <c r="H108" s="153"/>
      <c r="I108" s="307"/>
      <c r="J108" s="307"/>
      <c r="K108" s="400"/>
      <c r="L108" s="400"/>
      <c r="M108" s="400"/>
      <c r="N108" s="400"/>
      <c r="O108" s="148"/>
      <c r="P108" s="724"/>
    </row>
    <row r="109" spans="1:16" ht="20.25" customHeight="1">
      <c r="A109" s="723"/>
      <c r="B109" s="143"/>
      <c r="C109" s="143"/>
      <c r="D109" s="150"/>
      <c r="E109" s="149" t="s">
        <v>55</v>
      </c>
      <c r="F109" s="150"/>
      <c r="G109" s="151"/>
      <c r="H109" s="517" t="s">
        <v>47</v>
      </c>
      <c r="I109" s="307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635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42)</f>
        <v>42</v>
      </c>
      <c r="K109" s="400">
        <f t="shared" ref="K109:K116" ca="1" si="74">IF(I109&gt;0,J109*100/I109,0)</f>
        <v>70</v>
      </c>
      <c r="L109" s="400"/>
      <c r="M109" s="400"/>
      <c r="N109" s="400"/>
      <c r="O109" s="148"/>
      <c r="P109" s="724"/>
    </row>
    <row r="110" spans="1:16" ht="20.25" customHeight="1">
      <c r="A110" s="723"/>
      <c r="B110" s="143"/>
      <c r="C110" s="143"/>
      <c r="D110" s="150"/>
      <c r="E110" s="154" t="s">
        <v>56</v>
      </c>
      <c r="F110" s="150"/>
      <c r="G110" s="151"/>
      <c r="H110" s="517" t="s">
        <v>47</v>
      </c>
      <c r="I110" s="307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635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43)</f>
        <v>43</v>
      </c>
      <c r="K110" s="400">
        <f t="shared" ca="1" si="74"/>
        <v>71.666666666666671</v>
      </c>
      <c r="L110" s="400"/>
      <c r="M110" s="400"/>
      <c r="N110" s="400"/>
      <c r="O110" s="148"/>
      <c r="P110" s="724"/>
    </row>
    <row r="111" spans="1:16" ht="20.25" customHeight="1">
      <c r="A111" s="723"/>
      <c r="B111" s="143"/>
      <c r="C111" s="143"/>
      <c r="D111" s="155" t="s">
        <v>57</v>
      </c>
      <c r="E111" s="155"/>
      <c r="F111" s="150"/>
      <c r="G111" s="151"/>
      <c r="H111" s="156" t="s">
        <v>33</v>
      </c>
      <c r="I111" s="157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58">
        <f ca="1">J114</f>
        <v>205</v>
      </c>
      <c r="K111" s="159">
        <f t="shared" ca="1" si="74"/>
        <v>22.777777777777779</v>
      </c>
      <c r="L111" s="400"/>
      <c r="M111" s="400"/>
      <c r="N111" s="400"/>
      <c r="O111" s="148"/>
      <c r="P111" s="724"/>
    </row>
    <row r="112" spans="1:16" ht="20.25" customHeight="1">
      <c r="A112" s="723"/>
      <c r="B112" s="143"/>
      <c r="C112" s="143"/>
      <c r="D112" s="143"/>
      <c r="E112" s="150"/>
      <c r="F112" s="150"/>
      <c r="G112" s="151"/>
      <c r="H112" s="160" t="s">
        <v>47</v>
      </c>
      <c r="I112" s="157">
        <f t="shared" ref="I112:J112" ca="1" si="75">I115+I116</f>
        <v>120</v>
      </c>
      <c r="J112" s="158">
        <f t="shared" ca="1" si="75"/>
        <v>26</v>
      </c>
      <c r="K112" s="159">
        <f t="shared" ca="1" si="74"/>
        <v>21.666666666666668</v>
      </c>
      <c r="L112" s="400"/>
      <c r="M112" s="400"/>
      <c r="N112" s="400"/>
      <c r="O112" s="148"/>
      <c r="P112" s="724"/>
    </row>
    <row r="113" spans="1:26" ht="20.25" customHeight="1">
      <c r="A113" s="723"/>
      <c r="B113" s="143"/>
      <c r="C113" s="143"/>
      <c r="D113" s="143"/>
      <c r="E113" s="161" t="s">
        <v>58</v>
      </c>
      <c r="F113" s="150"/>
      <c r="G113" s="151"/>
      <c r="H113" s="162" t="s">
        <v>33</v>
      </c>
      <c r="I113" s="313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635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235)</f>
        <v>235</v>
      </c>
      <c r="K113" s="400">
        <f t="shared" ca="1" si="74"/>
        <v>26.111111111111111</v>
      </c>
      <c r="L113" s="400"/>
      <c r="M113" s="400"/>
      <c r="N113" s="400"/>
      <c r="O113" s="148"/>
      <c r="P113" s="724"/>
    </row>
    <row r="114" spans="1:26" ht="20.25" customHeight="1">
      <c r="A114" s="723"/>
      <c r="B114" s="143"/>
      <c r="C114" s="143"/>
      <c r="D114" s="143"/>
      <c r="E114" s="149" t="s">
        <v>59</v>
      </c>
      <c r="F114" s="150"/>
      <c r="G114" s="151"/>
      <c r="H114" s="163" t="s">
        <v>33</v>
      </c>
      <c r="I114" s="313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635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205)</f>
        <v>205</v>
      </c>
      <c r="K114" s="400">
        <f t="shared" ca="1" si="74"/>
        <v>22.777777777777779</v>
      </c>
      <c r="L114" s="400"/>
      <c r="M114" s="400"/>
      <c r="N114" s="400"/>
      <c r="O114" s="148"/>
      <c r="P114" s="724"/>
    </row>
    <row r="115" spans="1:26" ht="20.25" customHeight="1">
      <c r="A115" s="723"/>
      <c r="B115" s="143"/>
      <c r="C115" s="143"/>
      <c r="D115" s="143"/>
      <c r="E115" s="149" t="s">
        <v>60</v>
      </c>
      <c r="F115" s="150"/>
      <c r="G115" s="151"/>
      <c r="H115" s="163" t="s">
        <v>47</v>
      </c>
      <c r="I115" s="313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635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14)</f>
        <v>14</v>
      </c>
      <c r="K115" s="400">
        <f t="shared" ca="1" si="74"/>
        <v>23.333333333333332</v>
      </c>
      <c r="L115" s="400"/>
      <c r="M115" s="400"/>
      <c r="N115" s="400"/>
      <c r="O115" s="148"/>
      <c r="P115" s="724"/>
    </row>
    <row r="116" spans="1:26" ht="20.25" customHeight="1">
      <c r="A116" s="723"/>
      <c r="B116" s="143"/>
      <c r="C116" s="143"/>
      <c r="D116" s="143"/>
      <c r="E116" s="149" t="s">
        <v>61</v>
      </c>
      <c r="F116" s="150"/>
      <c r="G116" s="151"/>
      <c r="H116" s="163" t="s">
        <v>47</v>
      </c>
      <c r="I116" s="313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635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12)</f>
        <v>12</v>
      </c>
      <c r="K116" s="400">
        <f t="shared" ca="1" si="74"/>
        <v>20</v>
      </c>
      <c r="L116" s="400"/>
      <c r="M116" s="400"/>
      <c r="N116" s="400"/>
      <c r="O116" s="148"/>
      <c r="P116" s="724"/>
    </row>
    <row r="117" spans="1:26" ht="20.25" customHeight="1">
      <c r="A117" s="710" t="s">
        <v>62</v>
      </c>
      <c r="B117" s="94"/>
      <c r="C117" s="164"/>
      <c r="D117" s="94"/>
      <c r="E117" s="94"/>
      <c r="F117" s="94"/>
      <c r="G117" s="94"/>
      <c r="H117" s="165"/>
      <c r="I117" s="166"/>
      <c r="J117" s="166"/>
      <c r="K117" s="167"/>
      <c r="L117" s="99"/>
      <c r="M117" s="99"/>
      <c r="N117" s="99"/>
      <c r="O117" s="99"/>
      <c r="P117" s="711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712"/>
      <c r="B118" s="171" t="s">
        <v>63</v>
      </c>
      <c r="C118" s="168"/>
      <c r="D118" s="100"/>
      <c r="E118" s="12"/>
      <c r="F118" s="12"/>
      <c r="G118" s="14"/>
      <c r="H118" s="169" t="s">
        <v>64</v>
      </c>
      <c r="I118" s="101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01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02">
        <f ca="1">IF(I118&gt;0,J118*100/I118,0)</f>
        <v>100</v>
      </c>
      <c r="L118" s="17"/>
      <c r="M118" s="17"/>
      <c r="N118" s="17"/>
      <c r="O118" s="17"/>
      <c r="P118" s="680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713"/>
      <c r="B119" s="103"/>
      <c r="C119" s="856" t="s">
        <v>14</v>
      </c>
      <c r="D119" s="105" t="s">
        <v>15</v>
      </c>
      <c r="E119" s="103"/>
      <c r="F119" s="103"/>
      <c r="G119" s="106"/>
      <c r="H119" s="107" t="s">
        <v>12</v>
      </c>
      <c r="I119" s="108"/>
      <c r="J119" s="108"/>
      <c r="K119" s="109"/>
      <c r="L119" s="110">
        <f t="shared" ref="L119:N119" ca="1" si="76">L120+L121</f>
        <v>2888900</v>
      </c>
      <c r="M119" s="110">
        <f t="shared" ca="1" si="76"/>
        <v>2888900</v>
      </c>
      <c r="N119" s="110">
        <f t="shared" ca="1" si="76"/>
        <v>2713135</v>
      </c>
      <c r="O119" s="110">
        <f t="shared" ref="O119:O127" ca="1" si="77">IF(L119&gt;0,N119*100/L119,0)</f>
        <v>93.915850323652606</v>
      </c>
      <c r="P119" s="714">
        <f t="shared" ref="P119:P127" ca="1" si="78">IF(M119&gt;0,N119*100/M119,0)</f>
        <v>93.915850323652606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0.25" customHeight="1">
      <c r="A120" s="715"/>
      <c r="B120" s="24"/>
      <c r="C120" s="24"/>
      <c r="D120" s="24"/>
      <c r="E120" s="226" t="s">
        <v>16</v>
      </c>
      <c r="F120" s="24"/>
      <c r="G120" s="111"/>
      <c r="H120" s="112" t="s">
        <v>12</v>
      </c>
      <c r="I120" s="216"/>
      <c r="J120" s="216"/>
      <c r="K120" s="63"/>
      <c r="L120" s="63">
        <f t="shared" ref="L120:N120" ca="1" si="79">L123+L126</f>
        <v>0</v>
      </c>
      <c r="M120" s="63">
        <f t="shared" ca="1" si="79"/>
        <v>175765</v>
      </c>
      <c r="N120" s="63">
        <f t="shared" ca="1" si="79"/>
        <v>0</v>
      </c>
      <c r="O120" s="63">
        <f t="shared" ca="1" si="77"/>
        <v>0</v>
      </c>
      <c r="P120" s="684">
        <f t="shared" ca="1" si="78"/>
        <v>0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0.25" customHeight="1">
      <c r="A121" s="715"/>
      <c r="B121" s="24"/>
      <c r="C121" s="24"/>
      <c r="D121" s="24"/>
      <c r="E121" s="226" t="s">
        <v>17</v>
      </c>
      <c r="F121" s="24"/>
      <c r="G121" s="111"/>
      <c r="H121" s="112" t="s">
        <v>12</v>
      </c>
      <c r="I121" s="216"/>
      <c r="J121" s="216"/>
      <c r="K121" s="63"/>
      <c r="L121" s="63">
        <f t="shared" ref="L121:N121" ca="1" si="80">L124+L127</f>
        <v>2888900</v>
      </c>
      <c r="M121" s="63">
        <f t="shared" ca="1" si="80"/>
        <v>2713135</v>
      </c>
      <c r="N121" s="63">
        <f t="shared" ca="1" si="80"/>
        <v>2713135</v>
      </c>
      <c r="O121" s="63">
        <f t="shared" ca="1" si="77"/>
        <v>93.915850323652606</v>
      </c>
      <c r="P121" s="684">
        <f t="shared" ca="1" si="78"/>
        <v>100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0.25" customHeight="1">
      <c r="A122" s="716"/>
      <c r="B122" s="19"/>
      <c r="C122" s="113"/>
      <c r="D122" s="20" t="s">
        <v>18</v>
      </c>
      <c r="E122" s="19"/>
      <c r="F122" s="19"/>
      <c r="G122" s="21"/>
      <c r="H122" s="114" t="s">
        <v>12</v>
      </c>
      <c r="I122" s="115"/>
      <c r="J122" s="115"/>
      <c r="K122" s="116"/>
      <c r="L122" s="23">
        <f t="shared" ref="L122:N122" ca="1" si="81">L123+L124</f>
        <v>0</v>
      </c>
      <c r="M122" s="23">
        <f t="shared" ca="1" si="81"/>
        <v>0</v>
      </c>
      <c r="N122" s="23">
        <f t="shared" ca="1" si="81"/>
        <v>0</v>
      </c>
      <c r="O122" s="23">
        <f t="shared" ca="1" si="77"/>
        <v>0</v>
      </c>
      <c r="P122" s="682">
        <f t="shared" ca="1" si="78"/>
        <v>0</v>
      </c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0.25" customHeight="1">
      <c r="A123" s="715"/>
      <c r="B123" s="24"/>
      <c r="C123" s="226"/>
      <c r="D123" s="24"/>
      <c r="E123" s="226" t="s">
        <v>34</v>
      </c>
      <c r="F123" s="24"/>
      <c r="G123" s="111"/>
      <c r="H123" s="623" t="s">
        <v>12</v>
      </c>
      <c r="I123" s="128"/>
      <c r="J123" s="128"/>
      <c r="K123" s="117"/>
      <c r="L123" s="63">
        <f ca="1">IFERROR(__xludf.DUMMYFUNCTION("IMPORTRANGE(""https://docs.google.com/spreadsheets/d/1MeEWN-I1oV_STSDYn1IFDPWt_1FKiwhDph83XaGc0o0/edit?usp=sharing"",""งบพรบ!BA9"")"),0)</f>
        <v>0</v>
      </c>
      <c r="M123" s="63">
        <f ca="1">IFERROR(__xludf.DUMMYFUNCTION("IMPORTRANGE(""https://docs.google.com/spreadsheets/d/1MeEWN-I1oV_STSDYn1IFDPWt_1FKiwhDph83XaGc0o0/edit?usp=sharing"",""งบพรบ!BF9"")"),0)</f>
        <v>0</v>
      </c>
      <c r="N123" s="63">
        <f ca="1">IFERROR(__xludf.DUMMYFUNCTION("IMPORTRANGE(""https://docs.google.com/spreadsheets/d/1MeEWN-I1oV_STSDYn1IFDPWt_1FKiwhDph83XaGc0o0/edit?usp=sharing"",""งบพรบ!BH9"")"),0)</f>
        <v>0</v>
      </c>
      <c r="O123" s="63">
        <f t="shared" ca="1" si="77"/>
        <v>0</v>
      </c>
      <c r="P123" s="684">
        <f t="shared" ca="1" si="78"/>
        <v>0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0.25" customHeight="1">
      <c r="A124" s="715"/>
      <c r="B124" s="24"/>
      <c r="C124" s="226"/>
      <c r="D124" s="24"/>
      <c r="E124" s="226" t="s">
        <v>35</v>
      </c>
      <c r="F124" s="24"/>
      <c r="G124" s="111"/>
      <c r="H124" s="623" t="s">
        <v>12</v>
      </c>
      <c r="I124" s="128"/>
      <c r="J124" s="128"/>
      <c r="K124" s="117"/>
      <c r="L124" s="63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63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63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63">
        <f t="shared" ca="1" si="77"/>
        <v>0</v>
      </c>
      <c r="P124" s="684">
        <f t="shared" ca="1" si="78"/>
        <v>0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0.25" customHeight="1">
      <c r="A125" s="716"/>
      <c r="B125" s="19"/>
      <c r="C125" s="113"/>
      <c r="D125" s="20" t="s">
        <v>19</v>
      </c>
      <c r="E125" s="19"/>
      <c r="F125" s="19"/>
      <c r="G125" s="21"/>
      <c r="H125" s="118" t="s">
        <v>12</v>
      </c>
      <c r="I125" s="115"/>
      <c r="J125" s="115"/>
      <c r="K125" s="116"/>
      <c r="L125" s="23">
        <f t="shared" ref="L125:N125" ca="1" si="82">L126+L127</f>
        <v>2888900</v>
      </c>
      <c r="M125" s="23">
        <f t="shared" ca="1" si="82"/>
        <v>2888900</v>
      </c>
      <c r="N125" s="23">
        <f t="shared" ca="1" si="82"/>
        <v>2713135</v>
      </c>
      <c r="O125" s="23">
        <f t="shared" ca="1" si="77"/>
        <v>93.915850323652606</v>
      </c>
      <c r="P125" s="682">
        <f t="shared" ca="1" si="78"/>
        <v>93.915850323652606</v>
      </c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0.25" customHeight="1">
      <c r="A126" s="715"/>
      <c r="B126" s="24"/>
      <c r="C126" s="113"/>
      <c r="D126" s="24"/>
      <c r="E126" s="226" t="s">
        <v>16</v>
      </c>
      <c r="F126" s="24"/>
      <c r="G126" s="111"/>
      <c r="H126" s="623" t="s">
        <v>12</v>
      </c>
      <c r="I126" s="128"/>
      <c r="J126" s="128"/>
      <c r="K126" s="117"/>
      <c r="L126" s="63">
        <f ca="1">IFERROR(__xludf.DUMMYFUNCTION("IMPORTRANGE(""https://docs.google.com/spreadsheets/d/1MeEWN-I1oV_STSDYn1IFDPWt_1FKiwhDph83XaGc0o0/edit?usp=sharing"",""งบพรบ!BD9"")"),0)</f>
        <v>0</v>
      </c>
      <c r="M126" s="63">
        <f ca="1">IFERROR(__xludf.DUMMYFUNCTION("IMPORTRANGE(""https://docs.google.com/spreadsheets/d/1MeEWN-I1oV_STSDYn1IFDPWt_1FKiwhDph83XaGc0o0/edit?usp=sharing"",""งบพรบ!BG9"")"),175765)</f>
        <v>175765</v>
      </c>
      <c r="N126" s="63">
        <f ca="1">IFERROR(__xludf.DUMMYFUNCTION("IMPORTRANGE(""https://docs.google.com/spreadsheets/d/1MeEWN-I1oV_STSDYn1IFDPWt_1FKiwhDph83XaGc0o0/edit?usp=sharing"",""งบพรบ!BI9"")"),0)</f>
        <v>0</v>
      </c>
      <c r="O126" s="63">
        <f t="shared" ca="1" si="77"/>
        <v>0</v>
      </c>
      <c r="P126" s="684">
        <f t="shared" ca="1" si="78"/>
        <v>0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0.25" customHeight="1">
      <c r="A127" s="715"/>
      <c r="B127" s="24"/>
      <c r="C127" s="113"/>
      <c r="D127" s="24"/>
      <c r="E127" s="226" t="s">
        <v>17</v>
      </c>
      <c r="F127" s="24"/>
      <c r="G127" s="111"/>
      <c r="H127" s="119" t="s">
        <v>12</v>
      </c>
      <c r="I127" s="128"/>
      <c r="J127" s="128"/>
      <c r="K127" s="117"/>
      <c r="L127" s="63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63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63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63">
        <f t="shared" ca="1" si="77"/>
        <v>93.915850323652606</v>
      </c>
      <c r="P127" s="684">
        <f t="shared" ca="1" si="78"/>
        <v>100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0.25" customHeight="1">
      <c r="A128" s="710" t="s">
        <v>65</v>
      </c>
      <c r="B128" s="94"/>
      <c r="C128" s="164"/>
      <c r="D128" s="94"/>
      <c r="E128" s="94"/>
      <c r="F128" s="94"/>
      <c r="G128" s="94"/>
      <c r="H128" s="165"/>
      <c r="I128" s="166"/>
      <c r="J128" s="166"/>
      <c r="K128" s="167"/>
      <c r="L128" s="99"/>
      <c r="M128" s="99"/>
      <c r="N128" s="99"/>
      <c r="O128" s="99"/>
      <c r="P128" s="711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712"/>
      <c r="B129" s="171" t="s">
        <v>66</v>
      </c>
      <c r="C129" s="168"/>
      <c r="D129" s="100"/>
      <c r="E129" s="12"/>
      <c r="F129" s="12"/>
      <c r="G129" s="12"/>
      <c r="H129" s="170"/>
      <c r="I129" s="16"/>
      <c r="J129" s="16"/>
      <c r="K129" s="17"/>
      <c r="L129" s="17"/>
      <c r="M129" s="17"/>
      <c r="N129" s="17"/>
      <c r="O129" s="17"/>
      <c r="P129" s="680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712"/>
      <c r="B130" s="171"/>
      <c r="C130" s="172" t="s">
        <v>67</v>
      </c>
      <c r="D130" s="100"/>
      <c r="E130" s="12"/>
      <c r="F130" s="12"/>
      <c r="G130" s="14"/>
      <c r="H130" s="169" t="s">
        <v>64</v>
      </c>
      <c r="I130" s="101">
        <f t="shared" ref="I130:J130" ca="1" si="83">I146</f>
        <v>40</v>
      </c>
      <c r="J130" s="101">
        <f t="shared" ca="1" si="83"/>
        <v>35</v>
      </c>
      <c r="K130" s="102">
        <f t="shared" ref="K130:K131" ca="1" si="84">IF(I130&gt;0,J130*100/I130,0)</f>
        <v>87.5</v>
      </c>
      <c r="L130" s="17"/>
      <c r="M130" s="17"/>
      <c r="N130" s="17"/>
      <c r="O130" s="17"/>
      <c r="P130" s="680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712"/>
      <c r="B131" s="171"/>
      <c r="C131" s="172" t="s">
        <v>68</v>
      </c>
      <c r="D131" s="100"/>
      <c r="E131" s="12"/>
      <c r="F131" s="12"/>
      <c r="G131" s="14"/>
      <c r="H131" s="169" t="s">
        <v>33</v>
      </c>
      <c r="I131" s="101">
        <f t="shared" ref="I131:J131" ca="1" si="85">I143</f>
        <v>400</v>
      </c>
      <c r="J131" s="101">
        <f t="shared" ca="1" si="85"/>
        <v>400</v>
      </c>
      <c r="K131" s="102">
        <f t="shared" ca="1" si="84"/>
        <v>100</v>
      </c>
      <c r="L131" s="17"/>
      <c r="M131" s="17"/>
      <c r="N131" s="17"/>
      <c r="O131" s="17"/>
      <c r="P131" s="680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713"/>
      <c r="B132" s="103"/>
      <c r="C132" s="856" t="s">
        <v>14</v>
      </c>
      <c r="D132" s="105" t="s">
        <v>15</v>
      </c>
      <c r="E132" s="103"/>
      <c r="F132" s="103"/>
      <c r="G132" s="106"/>
      <c r="H132" s="107" t="s">
        <v>12</v>
      </c>
      <c r="I132" s="108"/>
      <c r="J132" s="108"/>
      <c r="K132" s="109"/>
      <c r="L132" s="110">
        <f t="shared" ref="L132:N132" ca="1" si="86">L133+L134</f>
        <v>9632800</v>
      </c>
      <c r="M132" s="110">
        <f t="shared" ca="1" si="86"/>
        <v>9632800</v>
      </c>
      <c r="N132" s="110">
        <f t="shared" ca="1" si="86"/>
        <v>7718366.7800000003</v>
      </c>
      <c r="O132" s="110">
        <f t="shared" ref="O132:O140" ca="1" si="87">IF(L132&gt;0,N132*100/L132,0)</f>
        <v>80.125890499127976</v>
      </c>
      <c r="P132" s="714">
        <f t="shared" ref="P132:P140" ca="1" si="88">IF(M132&gt;0,N132*100/M132,0)</f>
        <v>80.125890499127976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0.25" customHeight="1">
      <c r="A133" s="715"/>
      <c r="B133" s="24"/>
      <c r="C133" s="24"/>
      <c r="D133" s="24"/>
      <c r="E133" s="226" t="s">
        <v>16</v>
      </c>
      <c r="F133" s="24"/>
      <c r="G133" s="111"/>
      <c r="H133" s="112" t="s">
        <v>12</v>
      </c>
      <c r="I133" s="216"/>
      <c r="J133" s="216"/>
      <c r="K133" s="63"/>
      <c r="L133" s="63">
        <f t="shared" ref="L133:N133" ca="1" si="89">L136+L139</f>
        <v>1467700</v>
      </c>
      <c r="M133" s="63">
        <f t="shared" ca="1" si="89"/>
        <v>1505200</v>
      </c>
      <c r="N133" s="63">
        <f t="shared" ca="1" si="89"/>
        <v>602632.91</v>
      </c>
      <c r="O133" s="63">
        <f t="shared" ca="1" si="87"/>
        <v>41.059679089732235</v>
      </c>
      <c r="P133" s="684">
        <f t="shared" ca="1" si="88"/>
        <v>40.036733324475151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0.25" customHeight="1">
      <c r="A134" s="715"/>
      <c r="B134" s="24"/>
      <c r="C134" s="24"/>
      <c r="D134" s="24"/>
      <c r="E134" s="226" t="s">
        <v>17</v>
      </c>
      <c r="F134" s="24"/>
      <c r="G134" s="111"/>
      <c r="H134" s="112" t="s">
        <v>12</v>
      </c>
      <c r="I134" s="216"/>
      <c r="J134" s="216"/>
      <c r="K134" s="63"/>
      <c r="L134" s="63">
        <f t="shared" ref="L134:N134" ca="1" si="90">L137+L140</f>
        <v>8165100</v>
      </c>
      <c r="M134" s="63">
        <f t="shared" ca="1" si="90"/>
        <v>8127600</v>
      </c>
      <c r="N134" s="63">
        <f t="shared" ca="1" si="90"/>
        <v>7115733.8700000001</v>
      </c>
      <c r="O134" s="63">
        <f t="shared" ca="1" si="87"/>
        <v>87.148153360032339</v>
      </c>
      <c r="P134" s="684">
        <f t="shared" ca="1" si="88"/>
        <v>87.550246936364985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0.25" customHeight="1">
      <c r="A135" s="716"/>
      <c r="B135" s="19"/>
      <c r="C135" s="113"/>
      <c r="D135" s="20" t="s">
        <v>18</v>
      </c>
      <c r="E135" s="19"/>
      <c r="F135" s="19"/>
      <c r="G135" s="21"/>
      <c r="H135" s="114" t="s">
        <v>12</v>
      </c>
      <c r="I135" s="115"/>
      <c r="J135" s="115"/>
      <c r="K135" s="116"/>
      <c r="L135" s="23">
        <f t="shared" ref="L135:N135" ca="1" si="91">L136+L137</f>
        <v>5512800</v>
      </c>
      <c r="M135" s="23">
        <f t="shared" ca="1" si="91"/>
        <v>5512800</v>
      </c>
      <c r="N135" s="23">
        <f t="shared" ca="1" si="91"/>
        <v>3636366.7800000003</v>
      </c>
      <c r="O135" s="23">
        <f t="shared" ca="1" si="87"/>
        <v>65.962247496734875</v>
      </c>
      <c r="P135" s="682">
        <f t="shared" ca="1" si="88"/>
        <v>65.962247496734875</v>
      </c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0.25" customHeight="1">
      <c r="A136" s="715"/>
      <c r="B136" s="24"/>
      <c r="C136" s="113"/>
      <c r="D136" s="24"/>
      <c r="E136" s="226" t="s">
        <v>34</v>
      </c>
      <c r="F136" s="24"/>
      <c r="G136" s="111"/>
      <c r="H136" s="623" t="s">
        <v>12</v>
      </c>
      <c r="I136" s="128"/>
      <c r="J136" s="128"/>
      <c r="K136" s="117"/>
      <c r="L136" s="63">
        <f ca="1">IFERROR(__xludf.DUMMYFUNCTION("IMPORTRANGE(""https://docs.google.com/spreadsheets/d/1MeEWN-I1oV_STSDYn1IFDPWt_1FKiwhDph83XaGc0o0/edit?usp=sharing"",""งบพรบ!BK9"")"),1467700)</f>
        <v>1467700</v>
      </c>
      <c r="M136" s="63">
        <f ca="1">IFERROR(__xludf.DUMMYFUNCTION("IMPORTRANGE(""https://docs.google.com/spreadsheets/d/1MeEWN-I1oV_STSDYn1IFDPWt_1FKiwhDph83XaGc0o0/edit?usp=sharing"",""งบพรบ!BP9"")"),1467700)</f>
        <v>1467700</v>
      </c>
      <c r="N136" s="63">
        <f ca="1">IFERROR(__xludf.DUMMYFUNCTION("IMPORTRANGE(""https://docs.google.com/spreadsheets/d/1MeEWN-I1oV_STSDYn1IFDPWt_1FKiwhDph83XaGc0o0/edit?usp=sharing"",""งบพรบ!BR9"")"),602632.91)</f>
        <v>602632.91</v>
      </c>
      <c r="O136" s="63">
        <f t="shared" ca="1" si="87"/>
        <v>41.059679089732235</v>
      </c>
      <c r="P136" s="684">
        <f t="shared" ca="1" si="88"/>
        <v>41.059679089732235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0.25" customHeight="1">
      <c r="A137" s="715"/>
      <c r="B137" s="24"/>
      <c r="C137" s="113"/>
      <c r="D137" s="24"/>
      <c r="E137" s="226" t="s">
        <v>35</v>
      </c>
      <c r="F137" s="24"/>
      <c r="G137" s="111"/>
      <c r="H137" s="623" t="s">
        <v>12</v>
      </c>
      <c r="I137" s="128"/>
      <c r="J137" s="128"/>
      <c r="K137" s="117"/>
      <c r="L137" s="63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63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4045100)</f>
        <v>4045100</v>
      </c>
      <c r="N137" s="63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3033733.87)</f>
        <v>3033733.87</v>
      </c>
      <c r="O137" s="63">
        <f t="shared" ca="1" si="87"/>
        <v>74.997747150873892</v>
      </c>
      <c r="P137" s="684">
        <f t="shared" ca="1" si="88"/>
        <v>74.997747150873892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0.25" customHeight="1">
      <c r="A138" s="716"/>
      <c r="B138" s="19"/>
      <c r="C138" s="113"/>
      <c r="D138" s="20" t="s">
        <v>19</v>
      </c>
      <c r="E138" s="19"/>
      <c r="F138" s="19"/>
      <c r="G138" s="21"/>
      <c r="H138" s="118" t="s">
        <v>12</v>
      </c>
      <c r="I138" s="115"/>
      <c r="J138" s="115"/>
      <c r="K138" s="116"/>
      <c r="L138" s="23">
        <f t="shared" ref="L138:N138" ca="1" si="92">L139+L140</f>
        <v>4120000</v>
      </c>
      <c r="M138" s="23">
        <f t="shared" ca="1" si="92"/>
        <v>4120000</v>
      </c>
      <c r="N138" s="23">
        <f t="shared" ca="1" si="92"/>
        <v>4082000</v>
      </c>
      <c r="O138" s="23">
        <f t="shared" ca="1" si="87"/>
        <v>99.077669902912618</v>
      </c>
      <c r="P138" s="682">
        <f t="shared" ca="1" si="88"/>
        <v>99.077669902912618</v>
      </c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0.25" customHeight="1">
      <c r="A139" s="715"/>
      <c r="B139" s="24"/>
      <c r="C139" s="113"/>
      <c r="D139" s="24"/>
      <c r="E139" s="226" t="s">
        <v>16</v>
      </c>
      <c r="F139" s="24"/>
      <c r="G139" s="111"/>
      <c r="H139" s="623" t="s">
        <v>12</v>
      </c>
      <c r="I139" s="128"/>
      <c r="J139" s="128"/>
      <c r="K139" s="117"/>
      <c r="L139" s="63">
        <f ca="1">IFERROR(__xludf.DUMMYFUNCTION("IMPORTRANGE(""https://docs.google.com/spreadsheets/d/1MeEWN-I1oV_STSDYn1IFDPWt_1FKiwhDph83XaGc0o0/edit?usp=sharing"",""งบพรบ!BN9"")"),0)</f>
        <v>0</v>
      </c>
      <c r="M139" s="63">
        <f ca="1">IFERROR(__xludf.DUMMYFUNCTION("IMPORTRANGE(""https://docs.google.com/spreadsheets/d/1MeEWN-I1oV_STSDYn1IFDPWt_1FKiwhDph83XaGc0o0/edit?usp=sharing"",""งบพรบ!BQ9"")"),37500)</f>
        <v>37500</v>
      </c>
      <c r="N139" s="63">
        <f ca="1">IFERROR(__xludf.DUMMYFUNCTION("IMPORTRANGE(""https://docs.google.com/spreadsheets/d/1MeEWN-I1oV_STSDYn1IFDPWt_1FKiwhDph83XaGc0o0/edit?usp=sharing"",""งบพรบ!BS9"")"),0)</f>
        <v>0</v>
      </c>
      <c r="O139" s="63">
        <f t="shared" ca="1" si="87"/>
        <v>0</v>
      </c>
      <c r="P139" s="684">
        <f t="shared" ca="1" si="88"/>
        <v>0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0.25" customHeight="1">
      <c r="A140" s="715"/>
      <c r="B140" s="24"/>
      <c r="C140" s="113"/>
      <c r="D140" s="24"/>
      <c r="E140" s="226" t="s">
        <v>17</v>
      </c>
      <c r="F140" s="24"/>
      <c r="G140" s="111"/>
      <c r="H140" s="119" t="s">
        <v>12</v>
      </c>
      <c r="I140" s="128"/>
      <c r="J140" s="128"/>
      <c r="K140" s="117"/>
      <c r="L140" s="63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63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63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63">
        <f t="shared" ca="1" si="87"/>
        <v>99.077669902912618</v>
      </c>
      <c r="P140" s="684">
        <f t="shared" ca="1" si="88"/>
        <v>99.987752602571959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0.25" customHeight="1">
      <c r="A141" s="717"/>
      <c r="B141" s="120"/>
      <c r="C141" s="104" t="s">
        <v>14</v>
      </c>
      <c r="D141" s="121" t="s">
        <v>36</v>
      </c>
      <c r="E141" s="122"/>
      <c r="F141" s="122"/>
      <c r="G141" s="123"/>
      <c r="H141" s="119"/>
      <c r="I141" s="216"/>
      <c r="J141" s="216"/>
      <c r="K141" s="63"/>
      <c r="L141" s="63"/>
      <c r="M141" s="63"/>
      <c r="N141" s="63"/>
      <c r="O141" s="63"/>
      <c r="P141" s="68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715"/>
      <c r="B142" s="24"/>
      <c r="C142" s="113"/>
      <c r="D142" s="226" t="s">
        <v>69</v>
      </c>
      <c r="E142" s="173"/>
      <c r="F142" s="24"/>
      <c r="G142" s="111"/>
      <c r="H142" s="119"/>
      <c r="I142" s="216"/>
      <c r="J142" s="174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63"/>
      <c r="L142" s="63"/>
      <c r="M142" s="63"/>
      <c r="N142" s="63"/>
      <c r="O142" s="63"/>
      <c r="P142" s="68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715"/>
      <c r="B143" s="24"/>
      <c r="C143" s="113"/>
      <c r="D143" s="226" t="s">
        <v>70</v>
      </c>
      <c r="E143" s="173"/>
      <c r="F143" s="24"/>
      <c r="G143" s="111"/>
      <c r="H143" s="119" t="s">
        <v>33</v>
      </c>
      <c r="I143" s="216">
        <f ca="1">I145</f>
        <v>400</v>
      </c>
      <c r="J143" s="216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63">
        <f t="shared" ref="K143:K146" ca="1" si="93">IF(I143&gt;0,J143*100/I143,0)</f>
        <v>100</v>
      </c>
      <c r="L143" s="63"/>
      <c r="M143" s="63"/>
      <c r="N143" s="63"/>
      <c r="O143" s="63"/>
      <c r="P143" s="68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715"/>
      <c r="B144" s="24"/>
      <c r="C144" s="113"/>
      <c r="D144" s="125"/>
      <c r="E144" s="226" t="s">
        <v>71</v>
      </c>
      <c r="F144" s="24"/>
      <c r="G144" s="111"/>
      <c r="H144" s="119" t="s">
        <v>33</v>
      </c>
      <c r="I144" s="216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4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63">
        <f t="shared" ca="1" si="93"/>
        <v>135</v>
      </c>
      <c r="L144" s="63"/>
      <c r="M144" s="63"/>
      <c r="N144" s="63"/>
      <c r="O144" s="63"/>
      <c r="P144" s="68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715"/>
      <c r="B145" s="24"/>
      <c r="C145" s="113"/>
      <c r="D145" s="125"/>
      <c r="E145" s="226" t="s">
        <v>72</v>
      </c>
      <c r="F145" s="24"/>
      <c r="G145" s="111"/>
      <c r="H145" s="119" t="s">
        <v>33</v>
      </c>
      <c r="I145" s="216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4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63">
        <f t="shared" ca="1" si="93"/>
        <v>100</v>
      </c>
      <c r="L145" s="63"/>
      <c r="M145" s="63"/>
      <c r="N145" s="63"/>
      <c r="O145" s="63"/>
      <c r="P145" s="68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715"/>
      <c r="B146" s="24"/>
      <c r="C146" s="113"/>
      <c r="D146" s="226" t="s">
        <v>73</v>
      </c>
      <c r="E146" s="173"/>
      <c r="F146" s="24"/>
      <c r="G146" s="111"/>
      <c r="H146" s="119" t="s">
        <v>64</v>
      </c>
      <c r="I146" s="216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4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63">
        <f t="shared" ca="1" si="93"/>
        <v>87.5</v>
      </c>
      <c r="L146" s="63"/>
      <c r="M146" s="63"/>
      <c r="N146" s="63"/>
      <c r="O146" s="63"/>
      <c r="P146" s="68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710" t="s">
        <v>74</v>
      </c>
      <c r="B147" s="94"/>
      <c r="C147" s="164"/>
      <c r="D147" s="94"/>
      <c r="E147" s="94"/>
      <c r="F147" s="94"/>
      <c r="G147" s="94"/>
      <c r="H147" s="165"/>
      <c r="I147" s="166"/>
      <c r="J147" s="166"/>
      <c r="K147" s="167"/>
      <c r="L147" s="99"/>
      <c r="M147" s="99"/>
      <c r="N147" s="99"/>
      <c r="O147" s="99"/>
      <c r="P147" s="711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725"/>
      <c r="B148" s="171" t="s">
        <v>75</v>
      </c>
      <c r="C148" s="171"/>
      <c r="D148" s="171"/>
      <c r="E148" s="175"/>
      <c r="F148" s="176"/>
      <c r="G148" s="177"/>
      <c r="H148" s="178" t="s">
        <v>33</v>
      </c>
      <c r="I148" s="101">
        <f t="shared" ref="I148:J148" ca="1" si="94">I159</f>
        <v>500</v>
      </c>
      <c r="J148" s="101">
        <f t="shared" ca="1" si="94"/>
        <v>771</v>
      </c>
      <c r="K148" s="102">
        <f ca="1">IF(I148&gt;0,J148*100/I148,0)</f>
        <v>154.19999999999999</v>
      </c>
      <c r="L148" s="102"/>
      <c r="M148" s="102"/>
      <c r="N148" s="102"/>
      <c r="O148" s="102"/>
      <c r="P148" s="72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20.25" customHeight="1">
      <c r="A149" s="713"/>
      <c r="B149" s="103"/>
      <c r="C149" s="856" t="s">
        <v>14</v>
      </c>
      <c r="D149" s="105" t="s">
        <v>15</v>
      </c>
      <c r="E149" s="103"/>
      <c r="F149" s="103"/>
      <c r="G149" s="106"/>
      <c r="H149" s="107" t="s">
        <v>12</v>
      </c>
      <c r="I149" s="108"/>
      <c r="J149" s="108"/>
      <c r="K149" s="109"/>
      <c r="L149" s="110">
        <f t="shared" ref="L149:N149" ca="1" si="95">L150+L151</f>
        <v>5113000</v>
      </c>
      <c r="M149" s="110">
        <f t="shared" ca="1" si="95"/>
        <v>5113000</v>
      </c>
      <c r="N149" s="110">
        <f t="shared" ca="1" si="95"/>
        <v>3070942.83</v>
      </c>
      <c r="O149" s="110">
        <f t="shared" ref="O149:O157" ca="1" si="96">IF(L149&gt;0,N149*100/L149,0)</f>
        <v>60.061467435947584</v>
      </c>
      <c r="P149" s="714">
        <f t="shared" ref="P149:P157" ca="1" si="97">IF(M149&gt;0,N149*100/M149,0)</f>
        <v>60.061467435947584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0.25" customHeight="1">
      <c r="A150" s="715"/>
      <c r="B150" s="24"/>
      <c r="C150" s="24"/>
      <c r="D150" s="24"/>
      <c r="E150" s="226" t="s">
        <v>16</v>
      </c>
      <c r="F150" s="24"/>
      <c r="G150" s="111"/>
      <c r="H150" s="112" t="s">
        <v>12</v>
      </c>
      <c r="I150" s="216"/>
      <c r="J150" s="216"/>
      <c r="K150" s="63"/>
      <c r="L150" s="63">
        <f t="shared" ref="L150:N150" ca="1" si="98">L153+L156</f>
        <v>4863000</v>
      </c>
      <c r="M150" s="63">
        <f t="shared" ca="1" si="98"/>
        <v>4494760</v>
      </c>
      <c r="N150" s="63">
        <f t="shared" ca="1" si="98"/>
        <v>2543652.04</v>
      </c>
      <c r="O150" s="63">
        <f t="shared" ca="1" si="96"/>
        <v>52.306231544314208</v>
      </c>
      <c r="P150" s="684">
        <f t="shared" ca="1" si="97"/>
        <v>56.591498544972367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0.25" customHeight="1">
      <c r="A151" s="715"/>
      <c r="B151" s="24"/>
      <c r="C151" s="24"/>
      <c r="D151" s="24"/>
      <c r="E151" s="226" t="s">
        <v>17</v>
      </c>
      <c r="F151" s="24"/>
      <c r="G151" s="111"/>
      <c r="H151" s="112" t="s">
        <v>12</v>
      </c>
      <c r="I151" s="216"/>
      <c r="J151" s="216"/>
      <c r="K151" s="63"/>
      <c r="L151" s="63">
        <f t="shared" ref="L151:N151" ca="1" si="99">L154+L157</f>
        <v>250000</v>
      </c>
      <c r="M151" s="63">
        <f t="shared" ca="1" si="99"/>
        <v>618240</v>
      </c>
      <c r="N151" s="63">
        <f t="shared" ca="1" si="99"/>
        <v>527290.79</v>
      </c>
      <c r="O151" s="63">
        <f t="shared" ca="1" si="96"/>
        <v>210.91631599999999</v>
      </c>
      <c r="P151" s="684">
        <f t="shared" ca="1" si="97"/>
        <v>85.289012357660454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0.25" customHeight="1">
      <c r="A152" s="716"/>
      <c r="B152" s="19"/>
      <c r="C152" s="113"/>
      <c r="D152" s="20" t="s">
        <v>18</v>
      </c>
      <c r="E152" s="19"/>
      <c r="F152" s="19"/>
      <c r="G152" s="21"/>
      <c r="H152" s="114" t="s">
        <v>12</v>
      </c>
      <c r="I152" s="115"/>
      <c r="J152" s="115"/>
      <c r="K152" s="116"/>
      <c r="L152" s="23">
        <f t="shared" ref="L152:N152" ca="1" si="100">L153+L154</f>
        <v>5113000</v>
      </c>
      <c r="M152" s="23">
        <f t="shared" ca="1" si="100"/>
        <v>5113000</v>
      </c>
      <c r="N152" s="23">
        <f t="shared" ca="1" si="100"/>
        <v>3070942.83</v>
      </c>
      <c r="O152" s="23">
        <f t="shared" ca="1" si="96"/>
        <v>60.061467435947584</v>
      </c>
      <c r="P152" s="682">
        <f t="shared" ca="1" si="97"/>
        <v>60.061467435947584</v>
      </c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0.25" customHeight="1">
      <c r="A153" s="715"/>
      <c r="B153" s="24"/>
      <c r="C153" s="113"/>
      <c r="D153" s="24"/>
      <c r="E153" s="226" t="s">
        <v>34</v>
      </c>
      <c r="F153" s="24"/>
      <c r="G153" s="111"/>
      <c r="H153" s="623" t="s">
        <v>12</v>
      </c>
      <c r="I153" s="128"/>
      <c r="J153" s="128"/>
      <c r="K153" s="117"/>
      <c r="L153" s="63">
        <f ca="1">IFERROR(__xludf.DUMMYFUNCTION("IMPORTRANGE(""https://docs.google.com/spreadsheets/d/1MeEWN-I1oV_STSDYn1IFDPWt_1FKiwhDph83XaGc0o0/edit?usp=sharing"",""งบพรบ!BU9"")"),4863000)</f>
        <v>4863000</v>
      </c>
      <c r="M153" s="63">
        <f ca="1">IFERROR(__xludf.DUMMYFUNCTION("IMPORTRANGE(""https://docs.google.com/spreadsheets/d/1MeEWN-I1oV_STSDYn1IFDPWt_1FKiwhDph83XaGc0o0/edit?usp=sharing"",""งบพรบ!BZ9"")"),4494760)</f>
        <v>4494760</v>
      </c>
      <c r="N153" s="63">
        <f ca="1">IFERROR(__xludf.DUMMYFUNCTION("IMPORTRANGE(""https://docs.google.com/spreadsheets/d/1MeEWN-I1oV_STSDYn1IFDPWt_1FKiwhDph83XaGc0o0/edit?usp=sharing"",""งบพรบ!CB9"")"),2543652.04)</f>
        <v>2543652.04</v>
      </c>
      <c r="O153" s="63">
        <f t="shared" ca="1" si="96"/>
        <v>52.306231544314208</v>
      </c>
      <c r="P153" s="684">
        <f t="shared" ca="1" si="97"/>
        <v>56.591498544972367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0.25" customHeight="1">
      <c r="A154" s="715"/>
      <c r="B154" s="24"/>
      <c r="C154" s="113"/>
      <c r="D154" s="24"/>
      <c r="E154" s="226" t="s">
        <v>35</v>
      </c>
      <c r="F154" s="24"/>
      <c r="G154" s="111"/>
      <c r="H154" s="623" t="s">
        <v>12</v>
      </c>
      <c r="I154" s="128"/>
      <c r="J154" s="128"/>
      <c r="K154" s="117"/>
      <c r="L154" s="63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63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618240)</f>
        <v>618240</v>
      </c>
      <c r="N154" s="63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527290.79)</f>
        <v>527290.79</v>
      </c>
      <c r="O154" s="63">
        <f t="shared" ca="1" si="96"/>
        <v>210.91631599999999</v>
      </c>
      <c r="P154" s="684">
        <f t="shared" ca="1" si="97"/>
        <v>85.289012357660454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0.25" customHeight="1">
      <c r="A155" s="716"/>
      <c r="B155" s="19"/>
      <c r="C155" s="113"/>
      <c r="D155" s="20" t="s">
        <v>19</v>
      </c>
      <c r="E155" s="19"/>
      <c r="F155" s="19"/>
      <c r="G155" s="21"/>
      <c r="H155" s="118" t="s">
        <v>12</v>
      </c>
      <c r="I155" s="115"/>
      <c r="J155" s="115"/>
      <c r="K155" s="116"/>
      <c r="L155" s="23">
        <f t="shared" ref="L155:N155" ca="1" si="101">L156+L157</f>
        <v>0</v>
      </c>
      <c r="M155" s="23">
        <f t="shared" ca="1" si="101"/>
        <v>0</v>
      </c>
      <c r="N155" s="23">
        <f t="shared" ca="1" si="101"/>
        <v>0</v>
      </c>
      <c r="O155" s="23">
        <f t="shared" ca="1" si="96"/>
        <v>0</v>
      </c>
      <c r="P155" s="682">
        <f t="shared" ca="1" si="97"/>
        <v>0</v>
      </c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0.25" customHeight="1">
      <c r="A156" s="715"/>
      <c r="B156" s="24"/>
      <c r="C156" s="113"/>
      <c r="D156" s="24"/>
      <c r="E156" s="226" t="s">
        <v>16</v>
      </c>
      <c r="F156" s="24"/>
      <c r="G156" s="111"/>
      <c r="H156" s="623" t="s">
        <v>12</v>
      </c>
      <c r="I156" s="128"/>
      <c r="J156" s="128"/>
      <c r="K156" s="117"/>
      <c r="L156" s="63">
        <f ca="1">IFERROR(__xludf.DUMMYFUNCTION("IMPORTRANGE(""https://docs.google.com/spreadsheets/d/1MeEWN-I1oV_STSDYn1IFDPWt_1FKiwhDph83XaGc0o0/edit?usp=sharing"",""งบพรบ!BX9"")"),0)</f>
        <v>0</v>
      </c>
      <c r="M156" s="63">
        <f ca="1">IFERROR(__xludf.DUMMYFUNCTION("IMPORTRANGE(""https://docs.google.com/spreadsheets/d/1MeEWN-I1oV_STSDYn1IFDPWt_1FKiwhDph83XaGc0o0/edit?usp=sharing"",""งบพรบ!CA9"")"),0)</f>
        <v>0</v>
      </c>
      <c r="N156" s="63">
        <f ca="1">IFERROR(__xludf.DUMMYFUNCTION("IMPORTRANGE(""https://docs.google.com/spreadsheets/d/1MeEWN-I1oV_STSDYn1IFDPWt_1FKiwhDph83XaGc0o0/edit?usp=sharing"",""งบพรบ!CC9"")"),0)</f>
        <v>0</v>
      </c>
      <c r="O156" s="63">
        <f t="shared" ca="1" si="96"/>
        <v>0</v>
      </c>
      <c r="P156" s="684">
        <f t="shared" ca="1" si="97"/>
        <v>0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0.25" customHeight="1">
      <c r="A157" s="715"/>
      <c r="B157" s="24"/>
      <c r="C157" s="113"/>
      <c r="D157" s="24"/>
      <c r="E157" s="226" t="s">
        <v>17</v>
      </c>
      <c r="F157" s="24"/>
      <c r="G157" s="111"/>
      <c r="H157" s="119" t="s">
        <v>12</v>
      </c>
      <c r="I157" s="128"/>
      <c r="J157" s="128"/>
      <c r="K157" s="117"/>
      <c r="L157" s="63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63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63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63">
        <f t="shared" ca="1" si="96"/>
        <v>0</v>
      </c>
      <c r="P157" s="684">
        <f t="shared" ca="1" si="97"/>
        <v>0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0.25" customHeight="1">
      <c r="A158" s="717"/>
      <c r="B158" s="120"/>
      <c r="C158" s="857" t="s">
        <v>14</v>
      </c>
      <c r="D158" s="121" t="s">
        <v>36</v>
      </c>
      <c r="E158" s="122"/>
      <c r="F158" s="122"/>
      <c r="G158" s="123"/>
      <c r="H158" s="119"/>
      <c r="I158" s="216"/>
      <c r="J158" s="216"/>
      <c r="K158" s="63"/>
      <c r="L158" s="63"/>
      <c r="M158" s="63"/>
      <c r="N158" s="63"/>
      <c r="O158" s="63"/>
      <c r="P158" s="68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715"/>
      <c r="B159" s="24"/>
      <c r="C159" s="113"/>
      <c r="D159" s="226" t="s">
        <v>76</v>
      </c>
      <c r="E159" s="173"/>
      <c r="F159" s="24"/>
      <c r="G159" s="111"/>
      <c r="H159" s="119" t="s">
        <v>33</v>
      </c>
      <c r="I159" s="216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4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771)</f>
        <v>771</v>
      </c>
      <c r="K159" s="63">
        <f ca="1">IF(I159&gt;0,J159*100/I159,0)</f>
        <v>154.19999999999999</v>
      </c>
      <c r="L159" s="63"/>
      <c r="M159" s="63"/>
      <c r="N159" s="63"/>
      <c r="O159" s="63"/>
      <c r="P159" s="68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715"/>
      <c r="B160" s="24"/>
      <c r="C160" s="113"/>
      <c r="D160" s="226" t="s">
        <v>77</v>
      </c>
      <c r="E160" s="173"/>
      <c r="F160" s="24"/>
      <c r="G160" s="111"/>
      <c r="H160" s="119" t="s">
        <v>33</v>
      </c>
      <c r="I160" s="216"/>
      <c r="J160" s="216"/>
      <c r="K160" s="63"/>
      <c r="L160" s="63"/>
      <c r="M160" s="63"/>
      <c r="N160" s="63"/>
      <c r="O160" s="63"/>
      <c r="P160" s="68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727"/>
      <c r="B161" s="179"/>
      <c r="C161" s="180"/>
      <c r="D161" s="181" t="s">
        <v>78</v>
      </c>
      <c r="E161" s="182"/>
      <c r="F161" s="179"/>
      <c r="G161" s="183"/>
      <c r="H161" s="184" t="s">
        <v>33</v>
      </c>
      <c r="I161" s="185"/>
      <c r="J161" s="185"/>
      <c r="K161" s="186"/>
      <c r="L161" s="186"/>
      <c r="M161" s="186"/>
      <c r="N161" s="186"/>
      <c r="O161" s="186"/>
      <c r="P161" s="728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729" t="s">
        <v>79</v>
      </c>
      <c r="B162" s="187"/>
      <c r="C162" s="187"/>
      <c r="D162" s="187"/>
      <c r="E162" s="188"/>
      <c r="F162" s="188"/>
      <c r="G162" s="189"/>
      <c r="H162" s="190"/>
      <c r="I162" s="191"/>
      <c r="J162" s="191"/>
      <c r="K162" s="192"/>
      <c r="L162" s="192"/>
      <c r="M162" s="192"/>
      <c r="N162" s="192"/>
      <c r="O162" s="192"/>
      <c r="P162" s="730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731" t="s">
        <v>80</v>
      </c>
      <c r="B163" s="193"/>
      <c r="C163" s="193"/>
      <c r="D163" s="194"/>
      <c r="E163" s="194"/>
      <c r="F163" s="194"/>
      <c r="G163" s="195"/>
      <c r="H163" s="196"/>
      <c r="I163" s="197"/>
      <c r="J163" s="197"/>
      <c r="K163" s="198"/>
      <c r="L163" s="198"/>
      <c r="M163" s="198"/>
      <c r="N163" s="198"/>
      <c r="O163" s="198"/>
      <c r="P163" s="732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733"/>
      <c r="B164" s="199" t="s">
        <v>81</v>
      </c>
      <c r="C164" s="200"/>
      <c r="D164" s="122"/>
      <c r="E164" s="122"/>
      <c r="F164" s="122"/>
      <c r="G164" s="123"/>
      <c r="H164" s="201" t="s">
        <v>33</v>
      </c>
      <c r="I164" s="202">
        <f t="shared" ref="I164:J164" ca="1" si="102">I174+I177</f>
        <v>800</v>
      </c>
      <c r="J164" s="202">
        <f t="shared" ca="1" si="102"/>
        <v>802</v>
      </c>
      <c r="K164" s="203">
        <f ca="1">IF(I164&gt;0,J164*100/I164,0)</f>
        <v>100.25</v>
      </c>
      <c r="L164" s="204"/>
      <c r="M164" s="204"/>
      <c r="N164" s="204"/>
      <c r="O164" s="204"/>
      <c r="P164" s="73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735"/>
      <c r="B165" s="205"/>
      <c r="C165" s="856" t="s">
        <v>14</v>
      </c>
      <c r="D165" s="105" t="s">
        <v>15</v>
      </c>
      <c r="E165" s="205"/>
      <c r="F165" s="205"/>
      <c r="G165" s="206"/>
      <c r="H165" s="107" t="s">
        <v>12</v>
      </c>
      <c r="I165" s="207"/>
      <c r="J165" s="207"/>
      <c r="K165" s="110"/>
      <c r="L165" s="110">
        <f t="shared" ref="L165:N165" ca="1" si="103">L166+L167</f>
        <v>22523100</v>
      </c>
      <c r="M165" s="110">
        <f t="shared" ca="1" si="103"/>
        <v>22461000</v>
      </c>
      <c r="N165" s="110">
        <f t="shared" ca="1" si="103"/>
        <v>17241607.050000001</v>
      </c>
      <c r="O165" s="110">
        <f t="shared" ref="O165:O173" ca="1" si="104">IF(L165&gt;0,N165*100/L165,0)</f>
        <v>76.550772540192071</v>
      </c>
      <c r="P165" s="714">
        <f t="shared" ref="P165:P173" ca="1" si="105">IF(M165&gt;0,N165*100/M165,0)</f>
        <v>76.762419527180441</v>
      </c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0.25" customHeight="1">
      <c r="A166" s="715"/>
      <c r="B166" s="24"/>
      <c r="C166" s="24"/>
      <c r="D166" s="24"/>
      <c r="E166" s="226" t="s">
        <v>16</v>
      </c>
      <c r="F166" s="24"/>
      <c r="G166" s="111"/>
      <c r="H166" s="112" t="s">
        <v>12</v>
      </c>
      <c r="I166" s="216"/>
      <c r="J166" s="216"/>
      <c r="K166" s="63"/>
      <c r="L166" s="63">
        <f t="shared" ref="L166:N166" ca="1" si="106">L169+L172</f>
        <v>21063450</v>
      </c>
      <c r="M166" s="63">
        <f t="shared" ca="1" si="106"/>
        <v>20246810</v>
      </c>
      <c r="N166" s="63">
        <f t="shared" ca="1" si="106"/>
        <v>15086389.49</v>
      </c>
      <c r="O166" s="63">
        <f t="shared" ca="1" si="104"/>
        <v>71.623544528555385</v>
      </c>
      <c r="P166" s="684">
        <f t="shared" ca="1" si="105"/>
        <v>74.512426846500759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0.25" customHeight="1">
      <c r="A167" s="715"/>
      <c r="B167" s="24"/>
      <c r="C167" s="24"/>
      <c r="D167" s="24"/>
      <c r="E167" s="226" t="s">
        <v>17</v>
      </c>
      <c r="F167" s="24"/>
      <c r="G167" s="111"/>
      <c r="H167" s="112" t="s">
        <v>12</v>
      </c>
      <c r="I167" s="216"/>
      <c r="J167" s="216"/>
      <c r="K167" s="63"/>
      <c r="L167" s="63">
        <f t="shared" ref="L167:N167" ca="1" si="107">L170+L173</f>
        <v>1459650</v>
      </c>
      <c r="M167" s="63">
        <f t="shared" ca="1" si="107"/>
        <v>2214190</v>
      </c>
      <c r="N167" s="63">
        <f t="shared" ca="1" si="107"/>
        <v>2155217.56</v>
      </c>
      <c r="O167" s="63">
        <f t="shared" ca="1" si="104"/>
        <v>147.65303737197274</v>
      </c>
      <c r="P167" s="684">
        <f t="shared" ca="1" si="105"/>
        <v>97.336613389094879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0.25" customHeight="1">
      <c r="A168" s="716"/>
      <c r="B168" s="19"/>
      <c r="C168" s="113"/>
      <c r="D168" s="20" t="s">
        <v>18</v>
      </c>
      <c r="E168" s="19"/>
      <c r="F168" s="19"/>
      <c r="G168" s="21"/>
      <c r="H168" s="114" t="s">
        <v>12</v>
      </c>
      <c r="I168" s="115"/>
      <c r="J168" s="115"/>
      <c r="K168" s="116"/>
      <c r="L168" s="23">
        <f t="shared" ref="L168:N168" ca="1" si="108">L169+L170</f>
        <v>22523100</v>
      </c>
      <c r="M168" s="23">
        <f t="shared" ca="1" si="108"/>
        <v>22461000</v>
      </c>
      <c r="N168" s="23">
        <f t="shared" ca="1" si="108"/>
        <v>17241607.050000001</v>
      </c>
      <c r="O168" s="23">
        <f t="shared" ca="1" si="104"/>
        <v>76.550772540192071</v>
      </c>
      <c r="P168" s="682">
        <f t="shared" ca="1" si="105"/>
        <v>76.762419527180441</v>
      </c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0.25" customHeight="1">
      <c r="A169" s="715"/>
      <c r="B169" s="24"/>
      <c r="C169" s="113"/>
      <c r="D169" s="24"/>
      <c r="E169" s="226" t="s">
        <v>34</v>
      </c>
      <c r="F169" s="24"/>
      <c r="G169" s="111"/>
      <c r="H169" s="623" t="s">
        <v>12</v>
      </c>
      <c r="I169" s="128"/>
      <c r="J169" s="128"/>
      <c r="K169" s="117"/>
      <c r="L169" s="63">
        <f ca="1">IFERROR(__xludf.DUMMYFUNCTION("IMPORTRANGE(""https://docs.google.com/spreadsheets/d/1MeEWN-I1oV_STSDYn1IFDPWt_1FKiwhDph83XaGc0o0/edit?usp=sharing"",""งบพรบ!CE9"")"),21063450)</f>
        <v>21063450</v>
      </c>
      <c r="M169" s="63">
        <f ca="1">IFERROR(__xludf.DUMMYFUNCTION("IMPORTRANGE(""https://docs.google.com/spreadsheets/d/1MeEWN-I1oV_STSDYn1IFDPWt_1FKiwhDph83XaGc0o0/edit?usp=sharing"",""งบพรบ!CJ9"")"),20246810)</f>
        <v>20246810</v>
      </c>
      <c r="N169" s="63">
        <f ca="1">IFERROR(__xludf.DUMMYFUNCTION("IMPORTRANGE(""https://docs.google.com/spreadsheets/d/1MeEWN-I1oV_STSDYn1IFDPWt_1FKiwhDph83XaGc0o0/edit?usp=sharing"",""งบพรบ!CL9"")"),15086389.49)</f>
        <v>15086389.49</v>
      </c>
      <c r="O169" s="63">
        <f t="shared" ca="1" si="104"/>
        <v>71.623544528555385</v>
      </c>
      <c r="P169" s="684">
        <f t="shared" ca="1" si="105"/>
        <v>74.512426846500759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0.25" customHeight="1">
      <c r="A170" s="715"/>
      <c r="B170" s="24"/>
      <c r="C170" s="113"/>
      <c r="D170" s="24"/>
      <c r="E170" s="226" t="s">
        <v>35</v>
      </c>
      <c r="F170" s="24"/>
      <c r="G170" s="111"/>
      <c r="H170" s="623" t="s">
        <v>12</v>
      </c>
      <c r="I170" s="128"/>
      <c r="J170" s="128"/>
      <c r="K170" s="117"/>
      <c r="L170" s="63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63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63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2155217.56)</f>
        <v>2155217.56</v>
      </c>
      <c r="O170" s="63">
        <f t="shared" ca="1" si="104"/>
        <v>147.65303737197274</v>
      </c>
      <c r="P170" s="684">
        <f t="shared" ca="1" si="105"/>
        <v>97.336613389094879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0.25" customHeight="1">
      <c r="A171" s="716"/>
      <c r="B171" s="19"/>
      <c r="C171" s="113"/>
      <c r="D171" s="20" t="s">
        <v>19</v>
      </c>
      <c r="E171" s="19"/>
      <c r="F171" s="19"/>
      <c r="G171" s="21"/>
      <c r="H171" s="118" t="s">
        <v>12</v>
      </c>
      <c r="I171" s="115"/>
      <c r="J171" s="115"/>
      <c r="K171" s="116"/>
      <c r="L171" s="23">
        <f t="shared" ref="L171:N171" ca="1" si="109">L172+L173</f>
        <v>0</v>
      </c>
      <c r="M171" s="23">
        <f t="shared" ca="1" si="109"/>
        <v>0</v>
      </c>
      <c r="N171" s="23">
        <f t="shared" ca="1" si="109"/>
        <v>0</v>
      </c>
      <c r="O171" s="23">
        <f t="shared" ca="1" si="104"/>
        <v>0</v>
      </c>
      <c r="P171" s="682">
        <f t="shared" ca="1" si="105"/>
        <v>0</v>
      </c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0.25" customHeight="1">
      <c r="A172" s="715"/>
      <c r="B172" s="24"/>
      <c r="C172" s="113"/>
      <c r="D172" s="24"/>
      <c r="E172" s="226" t="s">
        <v>16</v>
      </c>
      <c r="F172" s="24"/>
      <c r="G172" s="111"/>
      <c r="H172" s="623" t="s">
        <v>12</v>
      </c>
      <c r="I172" s="128"/>
      <c r="J172" s="128"/>
      <c r="K172" s="117"/>
      <c r="L172" s="63">
        <f ca="1">IFERROR(__xludf.DUMMYFUNCTION("IMPORTRANGE(""https://docs.google.com/spreadsheets/d/1MeEWN-I1oV_STSDYn1IFDPWt_1FKiwhDph83XaGc0o0/edit?usp=sharing"",""งบพรบ!CH9"")"),0)</f>
        <v>0</v>
      </c>
      <c r="M172" s="63">
        <f ca="1">IFERROR(__xludf.DUMMYFUNCTION("IMPORTRANGE(""https://docs.google.com/spreadsheets/d/1MeEWN-I1oV_STSDYn1IFDPWt_1FKiwhDph83XaGc0o0/edit?usp=sharing"",""งบพรบ!CK9"")"),0)</f>
        <v>0</v>
      </c>
      <c r="N172" s="63">
        <f ca="1">IFERROR(__xludf.DUMMYFUNCTION("IMPORTRANGE(""https://docs.google.com/spreadsheets/d/1MeEWN-I1oV_STSDYn1IFDPWt_1FKiwhDph83XaGc0o0/edit?usp=sharing"",""งบพรบ!CM9"")"),0)</f>
        <v>0</v>
      </c>
      <c r="O172" s="63">
        <f t="shared" ca="1" si="104"/>
        <v>0</v>
      </c>
      <c r="P172" s="684">
        <f t="shared" ca="1" si="105"/>
        <v>0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0.25" customHeight="1">
      <c r="A173" s="715"/>
      <c r="B173" s="24"/>
      <c r="C173" s="113"/>
      <c r="D173" s="24"/>
      <c r="E173" s="226" t="s">
        <v>17</v>
      </c>
      <c r="F173" s="24"/>
      <c r="G173" s="111"/>
      <c r="H173" s="119" t="s">
        <v>12</v>
      </c>
      <c r="I173" s="128"/>
      <c r="J173" s="128"/>
      <c r="K173" s="117"/>
      <c r="L173" s="63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63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63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63">
        <f t="shared" ca="1" si="104"/>
        <v>0</v>
      </c>
      <c r="P173" s="684">
        <f t="shared" ca="1" si="105"/>
        <v>0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0.25" customHeight="1">
      <c r="A174" s="736"/>
      <c r="B174" s="208"/>
      <c r="C174" s="209" t="s">
        <v>82</v>
      </c>
      <c r="D174" s="208"/>
      <c r="E174" s="208"/>
      <c r="F174" s="208"/>
      <c r="G174" s="210"/>
      <c r="H174" s="211" t="s">
        <v>33</v>
      </c>
      <c r="I174" s="215">
        <f t="shared" ref="I174:J174" ca="1" si="110">I176</f>
        <v>730</v>
      </c>
      <c r="J174" s="215">
        <f t="shared" ca="1" si="110"/>
        <v>730</v>
      </c>
      <c r="K174" s="212">
        <f ca="1">IF(I174&gt;0,J174*100/I174,0)</f>
        <v>100</v>
      </c>
      <c r="L174" s="213"/>
      <c r="M174" s="213"/>
      <c r="N174" s="213"/>
      <c r="O174" s="213"/>
      <c r="P174" s="737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717"/>
      <c r="B175" s="120"/>
      <c r="C175" s="113" t="s">
        <v>14</v>
      </c>
      <c r="D175" s="121" t="s">
        <v>36</v>
      </c>
      <c r="E175" s="122"/>
      <c r="F175" s="122"/>
      <c r="G175" s="123"/>
      <c r="H175" s="599"/>
      <c r="I175" s="128"/>
      <c r="J175" s="128"/>
      <c r="K175" s="117"/>
      <c r="L175" s="117"/>
      <c r="M175" s="117"/>
      <c r="N175" s="117"/>
      <c r="O175" s="117"/>
      <c r="P175" s="718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717"/>
      <c r="B176" s="120"/>
      <c r="C176" s="120"/>
      <c r="D176" s="586" t="s">
        <v>83</v>
      </c>
      <c r="E176" s="125"/>
      <c r="F176" s="125"/>
      <c r="G176" s="126"/>
      <c r="H176" s="228" t="s">
        <v>33</v>
      </c>
      <c r="I176" s="216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4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17">
        <f t="shared" ref="K176:K177" ca="1" si="111">IF(I176&gt;0,J176*100/I176,0)</f>
        <v>100</v>
      </c>
      <c r="L176" s="117"/>
      <c r="M176" s="117"/>
      <c r="N176" s="117"/>
      <c r="O176" s="117"/>
      <c r="P176" s="718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736"/>
      <c r="B177" s="214"/>
      <c r="C177" s="209" t="s">
        <v>84</v>
      </c>
      <c r="D177" s="214"/>
      <c r="E177" s="208"/>
      <c r="F177" s="208"/>
      <c r="G177" s="210"/>
      <c r="H177" s="211" t="s">
        <v>33</v>
      </c>
      <c r="I177" s="215">
        <f t="shared" ref="I177:J177" si="112">I179</f>
        <v>70</v>
      </c>
      <c r="J177" s="215">
        <f t="shared" si="112"/>
        <v>72</v>
      </c>
      <c r="K177" s="212">
        <f t="shared" si="111"/>
        <v>102.85714285714286</v>
      </c>
      <c r="L177" s="213"/>
      <c r="M177" s="213"/>
      <c r="N177" s="213"/>
      <c r="O177" s="213"/>
      <c r="P177" s="737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717"/>
      <c r="B178" s="120"/>
      <c r="C178" s="113" t="s">
        <v>14</v>
      </c>
      <c r="D178" s="121" t="s">
        <v>36</v>
      </c>
      <c r="E178" s="122"/>
      <c r="F178" s="122"/>
      <c r="G178" s="123"/>
      <c r="H178" s="599"/>
      <c r="I178" s="128"/>
      <c r="J178" s="128"/>
      <c r="K178" s="117"/>
      <c r="L178" s="117"/>
      <c r="M178" s="117"/>
      <c r="N178" s="117"/>
      <c r="O178" s="117"/>
      <c r="P178" s="718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717"/>
      <c r="B179" s="120"/>
      <c r="C179" s="120"/>
      <c r="D179" s="124" t="s">
        <v>85</v>
      </c>
      <c r="E179" s="125"/>
      <c r="F179" s="347"/>
      <c r="G179" s="126"/>
      <c r="H179" s="228" t="s">
        <v>33</v>
      </c>
      <c r="I179" s="216">
        <v>70</v>
      </c>
      <c r="J179" s="216">
        <f>40+32</f>
        <v>72</v>
      </c>
      <c r="K179" s="117">
        <f t="shared" ref="K179:K180" si="113">IF(I179&gt;0,J179*100/I179,0)</f>
        <v>102.85714285714286</v>
      </c>
      <c r="L179" s="117"/>
      <c r="M179" s="117"/>
      <c r="N179" s="117"/>
      <c r="O179" s="117"/>
      <c r="P179" s="718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733"/>
      <c r="B180" s="199" t="s">
        <v>86</v>
      </c>
      <c r="C180" s="200"/>
      <c r="D180" s="122"/>
      <c r="E180" s="122"/>
      <c r="F180" s="122"/>
      <c r="G180" s="123"/>
      <c r="H180" s="201" t="s">
        <v>33</v>
      </c>
      <c r="I180" s="202">
        <f t="shared" ref="I180:J180" ca="1" si="114">I225+I226</f>
        <v>1000</v>
      </c>
      <c r="J180" s="202">
        <f t="shared" ca="1" si="114"/>
        <v>1010</v>
      </c>
      <c r="K180" s="203">
        <f t="shared" ca="1" si="113"/>
        <v>101</v>
      </c>
      <c r="L180" s="204"/>
      <c r="M180" s="204"/>
      <c r="N180" s="204"/>
      <c r="O180" s="204"/>
      <c r="P180" s="73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713"/>
      <c r="B181" s="103"/>
      <c r="C181" s="104" t="s">
        <v>14</v>
      </c>
      <c r="D181" s="105" t="s">
        <v>15</v>
      </c>
      <c r="E181" s="103"/>
      <c r="F181" s="103"/>
      <c r="G181" s="106"/>
      <c r="H181" s="107" t="s">
        <v>12</v>
      </c>
      <c r="I181" s="108"/>
      <c r="J181" s="108"/>
      <c r="K181" s="109"/>
      <c r="L181" s="110">
        <f t="shared" ref="L181:N181" ca="1" si="115">L182+L183</f>
        <v>21292200</v>
      </c>
      <c r="M181" s="110">
        <f t="shared" ca="1" si="115"/>
        <v>21292200</v>
      </c>
      <c r="N181" s="110">
        <f t="shared" ca="1" si="115"/>
        <v>14829364.279999901</v>
      </c>
      <c r="O181" s="110">
        <f t="shared" ref="O181:O189" ca="1" si="116">IF(L181&gt;0,N181*100/L181,0)</f>
        <v>69.64693305529677</v>
      </c>
      <c r="P181" s="714">
        <f t="shared" ref="P181:P189" ca="1" si="117">IF(M181&gt;0,N181*100/M181,0)</f>
        <v>69.64693305529677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0.25" customHeight="1">
      <c r="A182" s="715"/>
      <c r="B182" s="24"/>
      <c r="C182" s="24"/>
      <c r="D182" s="24"/>
      <c r="E182" s="226" t="s">
        <v>16</v>
      </c>
      <c r="F182" s="24"/>
      <c r="G182" s="111"/>
      <c r="H182" s="112" t="s">
        <v>12</v>
      </c>
      <c r="I182" s="216"/>
      <c r="J182" s="216"/>
      <c r="K182" s="63"/>
      <c r="L182" s="63">
        <f t="shared" ref="L182:N182" ca="1" si="118">L185+L188</f>
        <v>6011870</v>
      </c>
      <c r="M182" s="63">
        <f t="shared" ca="1" si="118"/>
        <v>5298440</v>
      </c>
      <c r="N182" s="63">
        <f t="shared" ca="1" si="118"/>
        <v>2355330.87</v>
      </c>
      <c r="O182" s="63">
        <f t="shared" ca="1" si="116"/>
        <v>39.178007342141463</v>
      </c>
      <c r="P182" s="684">
        <f t="shared" ca="1" si="117"/>
        <v>44.453289458784091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0.25" customHeight="1">
      <c r="A183" s="715"/>
      <c r="B183" s="24"/>
      <c r="C183" s="24"/>
      <c r="D183" s="24"/>
      <c r="E183" s="226" t="s">
        <v>17</v>
      </c>
      <c r="F183" s="24"/>
      <c r="G183" s="111"/>
      <c r="H183" s="112" t="s">
        <v>12</v>
      </c>
      <c r="I183" s="216"/>
      <c r="J183" s="216"/>
      <c r="K183" s="63"/>
      <c r="L183" s="63">
        <f t="shared" ref="L183:N183" ca="1" si="119">L186+L189</f>
        <v>15280330</v>
      </c>
      <c r="M183" s="63">
        <f t="shared" ca="1" si="119"/>
        <v>15993760</v>
      </c>
      <c r="N183" s="63">
        <f t="shared" ca="1" si="119"/>
        <v>12474033.4099999</v>
      </c>
      <c r="O183" s="63">
        <f t="shared" ca="1" si="116"/>
        <v>81.634581255770655</v>
      </c>
      <c r="P183" s="684">
        <f t="shared" ca="1" si="117"/>
        <v>77.99312613169073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0.25" customHeight="1">
      <c r="A184" s="716"/>
      <c r="B184" s="19"/>
      <c r="C184" s="113"/>
      <c r="D184" s="20" t="s">
        <v>18</v>
      </c>
      <c r="E184" s="19"/>
      <c r="F184" s="19"/>
      <c r="G184" s="21"/>
      <c r="H184" s="114" t="s">
        <v>12</v>
      </c>
      <c r="I184" s="115"/>
      <c r="J184" s="115"/>
      <c r="K184" s="116"/>
      <c r="L184" s="23">
        <f t="shared" ref="L184:N184" ca="1" si="120">L185+L186</f>
        <v>21292200</v>
      </c>
      <c r="M184" s="23">
        <f t="shared" ca="1" si="120"/>
        <v>21292200</v>
      </c>
      <c r="N184" s="23">
        <f t="shared" ca="1" si="120"/>
        <v>14829364.279999901</v>
      </c>
      <c r="O184" s="23">
        <f t="shared" ca="1" si="116"/>
        <v>69.64693305529677</v>
      </c>
      <c r="P184" s="682">
        <f t="shared" ca="1" si="117"/>
        <v>69.64693305529677</v>
      </c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0.25" customHeight="1">
      <c r="A185" s="715"/>
      <c r="B185" s="24"/>
      <c r="C185" s="113"/>
      <c r="D185" s="24"/>
      <c r="E185" s="226" t="s">
        <v>34</v>
      </c>
      <c r="F185" s="24"/>
      <c r="G185" s="111"/>
      <c r="H185" s="623" t="s">
        <v>12</v>
      </c>
      <c r="I185" s="128"/>
      <c r="J185" s="128"/>
      <c r="K185" s="117"/>
      <c r="L185" s="63">
        <f ca="1">IFERROR(__xludf.DUMMYFUNCTION("IMPORTRANGE(""https://docs.google.com/spreadsheets/d/1MeEWN-I1oV_STSDYn1IFDPWt_1FKiwhDph83XaGc0o0/edit?usp=sharing"",""งบพรบ!CO9"")"),6011870)</f>
        <v>6011870</v>
      </c>
      <c r="M185" s="63">
        <f ca="1">IFERROR(__xludf.DUMMYFUNCTION("IMPORTRANGE(""https://docs.google.com/spreadsheets/d/1MeEWN-I1oV_STSDYn1IFDPWt_1FKiwhDph83XaGc0o0/edit?usp=sharing"",""งบพรบ!CT9"")"),5298440)</f>
        <v>5298440</v>
      </c>
      <c r="N185" s="63">
        <f ca="1">IFERROR(__xludf.DUMMYFUNCTION("IMPORTRANGE(""https://docs.google.com/spreadsheets/d/1MeEWN-I1oV_STSDYn1IFDPWt_1FKiwhDph83XaGc0o0/edit?usp=sharing"",""งบพรบ!CV9"")"),2355330.87)</f>
        <v>2355330.87</v>
      </c>
      <c r="O185" s="63">
        <f t="shared" ca="1" si="116"/>
        <v>39.178007342141463</v>
      </c>
      <c r="P185" s="684">
        <f t="shared" ca="1" si="117"/>
        <v>44.453289458784091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0.25" customHeight="1">
      <c r="A186" s="715"/>
      <c r="B186" s="24"/>
      <c r="C186" s="113"/>
      <c r="D186" s="24"/>
      <c r="E186" s="226" t="s">
        <v>35</v>
      </c>
      <c r="F186" s="24"/>
      <c r="G186" s="111"/>
      <c r="H186" s="623" t="s">
        <v>12</v>
      </c>
      <c r="I186" s="128"/>
      <c r="J186" s="128"/>
      <c r="K186" s="117"/>
      <c r="L186" s="63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63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15993760)</f>
        <v>15993760</v>
      </c>
      <c r="N186" s="63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12474033.4099999)</f>
        <v>12474033.4099999</v>
      </c>
      <c r="O186" s="63">
        <f t="shared" ca="1" si="116"/>
        <v>81.634581255770655</v>
      </c>
      <c r="P186" s="684">
        <f t="shared" ca="1" si="117"/>
        <v>77.99312613169073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0.25" customHeight="1">
      <c r="A187" s="716"/>
      <c r="B187" s="19"/>
      <c r="C187" s="113"/>
      <c r="D187" s="20" t="s">
        <v>19</v>
      </c>
      <c r="E187" s="19"/>
      <c r="F187" s="19"/>
      <c r="G187" s="21"/>
      <c r="H187" s="118" t="s">
        <v>12</v>
      </c>
      <c r="I187" s="115"/>
      <c r="J187" s="115"/>
      <c r="K187" s="116"/>
      <c r="L187" s="23">
        <f t="shared" ref="L187:N187" ca="1" si="121">L188+L189</f>
        <v>0</v>
      </c>
      <c r="M187" s="23">
        <f t="shared" ca="1" si="121"/>
        <v>0</v>
      </c>
      <c r="N187" s="23">
        <f t="shared" ca="1" si="121"/>
        <v>0</v>
      </c>
      <c r="O187" s="23">
        <f t="shared" ca="1" si="116"/>
        <v>0</v>
      </c>
      <c r="P187" s="682">
        <f t="shared" ca="1" si="117"/>
        <v>0</v>
      </c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0.25" customHeight="1">
      <c r="A188" s="715"/>
      <c r="B188" s="24"/>
      <c r="C188" s="113"/>
      <c r="D188" s="24"/>
      <c r="E188" s="226" t="s">
        <v>16</v>
      </c>
      <c r="F188" s="24"/>
      <c r="G188" s="111"/>
      <c r="H188" s="623" t="s">
        <v>12</v>
      </c>
      <c r="I188" s="128"/>
      <c r="J188" s="128"/>
      <c r="K188" s="117"/>
      <c r="L188" s="63">
        <f ca="1">IFERROR(__xludf.DUMMYFUNCTION("IMPORTRANGE(""https://docs.google.com/spreadsheets/d/1MeEWN-I1oV_STSDYn1IFDPWt_1FKiwhDph83XaGc0o0/edit?usp=sharing"",""งบพรบ!CR9"")"),0)</f>
        <v>0</v>
      </c>
      <c r="M188" s="63">
        <f ca="1">IFERROR(__xludf.DUMMYFUNCTION("IMPORTRANGE(""https://docs.google.com/spreadsheets/d/1MeEWN-I1oV_STSDYn1IFDPWt_1FKiwhDph83XaGc0o0/edit?usp=sharing"",""งบพรบ!CU9"")"),0)</f>
        <v>0</v>
      </c>
      <c r="N188" s="63">
        <f ca="1">IFERROR(__xludf.DUMMYFUNCTION("IMPORTRANGE(""https://docs.google.com/spreadsheets/d/1MeEWN-I1oV_STSDYn1IFDPWt_1FKiwhDph83XaGc0o0/edit?usp=sharing"",""งบพรบ!CW9"")"),0)</f>
        <v>0</v>
      </c>
      <c r="O188" s="63">
        <f t="shared" ca="1" si="116"/>
        <v>0</v>
      </c>
      <c r="P188" s="684">
        <f t="shared" ca="1" si="117"/>
        <v>0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0.25" customHeight="1">
      <c r="A189" s="715"/>
      <c r="B189" s="24"/>
      <c r="C189" s="113"/>
      <c r="D189" s="24"/>
      <c r="E189" s="226" t="s">
        <v>17</v>
      </c>
      <c r="F189" s="24"/>
      <c r="G189" s="111"/>
      <c r="H189" s="119" t="s">
        <v>12</v>
      </c>
      <c r="I189" s="128"/>
      <c r="J189" s="128"/>
      <c r="K189" s="117"/>
      <c r="L189" s="63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63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63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63">
        <f t="shared" ca="1" si="116"/>
        <v>0</v>
      </c>
      <c r="P189" s="684">
        <f t="shared" ca="1" si="117"/>
        <v>0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0.25" customHeight="1">
      <c r="A190" s="736"/>
      <c r="B190" s="214"/>
      <c r="C190" s="217" t="s">
        <v>87</v>
      </c>
      <c r="D190" s="208"/>
      <c r="E190" s="208"/>
      <c r="F190" s="208"/>
      <c r="G190" s="210"/>
      <c r="H190" s="211" t="s">
        <v>88</v>
      </c>
      <c r="I190" s="215">
        <f t="shared" ref="I190:J190" ca="1" si="122">I193</f>
        <v>288</v>
      </c>
      <c r="J190" s="215">
        <f t="shared" ca="1" si="122"/>
        <v>195</v>
      </c>
      <c r="K190" s="212">
        <f ca="1">IF(I190&gt;0,J190*100/I190,0)</f>
        <v>67.708333333333329</v>
      </c>
      <c r="L190" s="213"/>
      <c r="M190" s="213"/>
      <c r="N190" s="213"/>
      <c r="O190" s="213"/>
      <c r="P190" s="737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713"/>
      <c r="B191" s="103"/>
      <c r="C191" s="856" t="s">
        <v>14</v>
      </c>
      <c r="D191" s="218" t="s">
        <v>15</v>
      </c>
      <c r="E191" s="103"/>
      <c r="F191" s="103"/>
      <c r="G191" s="106"/>
      <c r="H191" s="219" t="s">
        <v>12</v>
      </c>
      <c r="I191" s="108"/>
      <c r="J191" s="108"/>
      <c r="K191" s="109"/>
      <c r="L191" s="110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10"/>
      <c r="N191" s="220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214890.44)</f>
        <v>214890.44</v>
      </c>
      <c r="O191" s="110">
        <f ca="1">IF(L191&gt;0,N191*100/L191,0)</f>
        <v>49.743157407407409</v>
      </c>
      <c r="P191" s="714">
        <f>IF(M191&gt;0,N191*100/M191,0)</f>
        <v>0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0.25" customHeight="1">
      <c r="A192" s="717"/>
      <c r="B192" s="120"/>
      <c r="C192" s="857" t="s">
        <v>14</v>
      </c>
      <c r="D192" s="121" t="s">
        <v>36</v>
      </c>
      <c r="E192" s="122"/>
      <c r="F192" s="122"/>
      <c r="G192" s="123"/>
      <c r="H192" s="599"/>
      <c r="I192" s="216"/>
      <c r="J192" s="216"/>
      <c r="K192" s="63"/>
      <c r="L192" s="63"/>
      <c r="M192" s="63"/>
      <c r="N192" s="63"/>
      <c r="O192" s="63"/>
      <c r="P192" s="684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0.25" customHeight="1">
      <c r="A193" s="717"/>
      <c r="B193" s="120"/>
      <c r="C193" s="120"/>
      <c r="D193" s="347" t="s">
        <v>89</v>
      </c>
      <c r="E193" s="125"/>
      <c r="F193" s="125"/>
      <c r="G193" s="126"/>
      <c r="H193" s="601" t="s">
        <v>88</v>
      </c>
      <c r="I193" s="216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4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195)</f>
        <v>195</v>
      </c>
      <c r="K193" s="63">
        <f ca="1">IF(I193&gt;0,J193*100/I193,0)</f>
        <v>67.708333333333329</v>
      </c>
      <c r="L193" s="63"/>
      <c r="M193" s="63"/>
      <c r="N193" s="63"/>
      <c r="O193" s="63"/>
      <c r="P193" s="684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0.25" customHeight="1">
      <c r="A194" s="717"/>
      <c r="B194" s="120"/>
      <c r="C194" s="120"/>
      <c r="D194" s="347" t="s">
        <v>90</v>
      </c>
      <c r="E194" s="125"/>
      <c r="F194" s="125"/>
      <c r="G194" s="126"/>
      <c r="H194" s="221" t="s">
        <v>33</v>
      </c>
      <c r="I194" s="216"/>
      <c r="J194" s="216">
        <f ca="1">J195+J196</f>
        <v>6480</v>
      </c>
      <c r="K194" s="63"/>
      <c r="L194" s="63"/>
      <c r="M194" s="63"/>
      <c r="N194" s="63"/>
      <c r="O194" s="63"/>
      <c r="P194" s="684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0.25" customHeight="1">
      <c r="A195" s="717"/>
      <c r="B195" s="120"/>
      <c r="C195" s="120"/>
      <c r="D195" s="120"/>
      <c r="E195" s="347" t="s">
        <v>91</v>
      </c>
      <c r="F195" s="125"/>
      <c r="G195" s="126"/>
      <c r="H195" s="221" t="s">
        <v>33</v>
      </c>
      <c r="I195" s="216"/>
      <c r="J195" s="174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6458)</f>
        <v>6458</v>
      </c>
      <c r="K195" s="63"/>
      <c r="L195" s="63"/>
      <c r="M195" s="63"/>
      <c r="N195" s="63"/>
      <c r="O195" s="63"/>
      <c r="P195" s="684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0.25" customHeight="1">
      <c r="A196" s="717"/>
      <c r="B196" s="120"/>
      <c r="C196" s="120"/>
      <c r="D196" s="120"/>
      <c r="E196" s="347" t="s">
        <v>92</v>
      </c>
      <c r="F196" s="125"/>
      <c r="G196" s="126"/>
      <c r="H196" s="221" t="s">
        <v>33</v>
      </c>
      <c r="I196" s="216"/>
      <c r="J196" s="174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63"/>
      <c r="L196" s="63"/>
      <c r="M196" s="63"/>
      <c r="N196" s="63"/>
      <c r="O196" s="63"/>
      <c r="P196" s="684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0.25" customHeight="1">
      <c r="A197" s="736"/>
      <c r="B197" s="214"/>
      <c r="C197" s="217" t="s">
        <v>93</v>
      </c>
      <c r="D197" s="208"/>
      <c r="E197" s="208"/>
      <c r="F197" s="208"/>
      <c r="G197" s="210"/>
      <c r="H197" s="222" t="s">
        <v>94</v>
      </c>
      <c r="I197" s="215">
        <f t="shared" ref="I197:J197" ca="1" si="123">I204</f>
        <v>175</v>
      </c>
      <c r="J197" s="215">
        <f t="shared" ca="1" si="123"/>
        <v>175</v>
      </c>
      <c r="K197" s="212">
        <f ca="1">IF(I197&gt;0,J197*100/I197,0)</f>
        <v>100</v>
      </c>
      <c r="L197" s="213"/>
      <c r="M197" s="213"/>
      <c r="N197" s="213"/>
      <c r="O197" s="213"/>
      <c r="P197" s="737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713"/>
      <c r="B198" s="103"/>
      <c r="C198" s="856" t="s">
        <v>14</v>
      </c>
      <c r="D198" s="218" t="s">
        <v>15</v>
      </c>
      <c r="E198" s="103"/>
      <c r="F198" s="103"/>
      <c r="G198" s="106"/>
      <c r="H198" s="219" t="s">
        <v>12</v>
      </c>
      <c r="I198" s="223"/>
      <c r="J198" s="223"/>
      <c r="K198" s="224"/>
      <c r="L198" s="110">
        <f ca="1">L199+L200+L201+L202</f>
        <v>2345000</v>
      </c>
      <c r="M198" s="110"/>
      <c r="N198" s="110">
        <f ca="1">N199+N200+N201+N202</f>
        <v>2088828.42</v>
      </c>
      <c r="O198" s="110">
        <f ca="1">IF(L198&gt;0,N198*100/L198,0)</f>
        <v>89.07583880597015</v>
      </c>
      <c r="P198" s="714">
        <f>IF(M198&gt;0,N198*100/M198,0)</f>
        <v>0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0.25" customHeight="1">
      <c r="A199" s="715"/>
      <c r="B199" s="225"/>
      <c r="C199" s="24"/>
      <c r="D199" s="226" t="s">
        <v>95</v>
      </c>
      <c r="E199" s="24"/>
      <c r="F199" s="24"/>
      <c r="G199" s="25"/>
      <c r="H199" s="623" t="s">
        <v>12</v>
      </c>
      <c r="I199" s="128"/>
      <c r="J199" s="128"/>
      <c r="K199" s="117"/>
      <c r="L199" s="63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63"/>
      <c r="N199" s="227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141031.9)</f>
        <v>141031.9</v>
      </c>
      <c r="O199" s="63"/>
      <c r="P199" s="684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0.25" customHeight="1">
      <c r="A200" s="738"/>
      <c r="B200" s="225"/>
      <c r="C200" s="113"/>
      <c r="D200" s="226" t="s">
        <v>96</v>
      </c>
      <c r="E200" s="24"/>
      <c r="F200" s="24"/>
      <c r="G200" s="25"/>
      <c r="H200" s="228" t="s">
        <v>12</v>
      </c>
      <c r="I200" s="216"/>
      <c r="J200" s="216"/>
      <c r="K200" s="63"/>
      <c r="L200" s="63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63"/>
      <c r="N200" s="227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1396014.62)</f>
        <v>1396014.62</v>
      </c>
      <c r="O200" s="63"/>
      <c r="P200" s="684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20.25" customHeight="1">
      <c r="A201" s="738"/>
      <c r="B201" s="225"/>
      <c r="C201" s="113"/>
      <c r="D201" s="226" t="s">
        <v>97</v>
      </c>
      <c r="E201" s="24"/>
      <c r="F201" s="24"/>
      <c r="G201" s="25"/>
      <c r="H201" s="228" t="s">
        <v>12</v>
      </c>
      <c r="I201" s="216"/>
      <c r="J201" s="216"/>
      <c r="K201" s="63"/>
      <c r="L201" s="63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63"/>
      <c r="N201" s="227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511781.9)</f>
        <v>511781.9</v>
      </c>
      <c r="O201" s="63"/>
      <c r="P201" s="684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20.25" customHeight="1">
      <c r="A202" s="738"/>
      <c r="B202" s="225"/>
      <c r="C202" s="113"/>
      <c r="D202" s="226" t="s">
        <v>98</v>
      </c>
      <c r="E202" s="24"/>
      <c r="F202" s="24"/>
      <c r="G202" s="25"/>
      <c r="H202" s="228" t="s">
        <v>12</v>
      </c>
      <c r="I202" s="216"/>
      <c r="J202" s="216"/>
      <c r="K202" s="63"/>
      <c r="L202" s="63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63"/>
      <c r="N202" s="227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40000)</f>
        <v>40000</v>
      </c>
      <c r="O202" s="63"/>
      <c r="P202" s="684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20.25" customHeight="1">
      <c r="A203" s="717"/>
      <c r="B203" s="120"/>
      <c r="C203" s="857" t="s">
        <v>14</v>
      </c>
      <c r="D203" s="121" t="s">
        <v>36</v>
      </c>
      <c r="E203" s="122"/>
      <c r="F203" s="122"/>
      <c r="G203" s="123"/>
      <c r="H203" s="599"/>
      <c r="I203" s="128"/>
      <c r="J203" s="128"/>
      <c r="K203" s="117"/>
      <c r="L203" s="117"/>
      <c r="M203" s="117"/>
      <c r="N203" s="117"/>
      <c r="O203" s="117"/>
      <c r="P203" s="7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0.25" customHeight="1">
      <c r="A204" s="717"/>
      <c r="B204" s="120"/>
      <c r="C204" s="120"/>
      <c r="D204" s="124" t="s">
        <v>99</v>
      </c>
      <c r="E204" s="125"/>
      <c r="F204" s="125"/>
      <c r="G204" s="126"/>
      <c r="H204" s="599" t="s">
        <v>94</v>
      </c>
      <c r="I204" s="216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4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17">
        <f ca="1">IF(I204&gt;0,J204*100/I204,0)</f>
        <v>100</v>
      </c>
      <c r="L204" s="63"/>
      <c r="M204" s="63"/>
      <c r="N204" s="63"/>
      <c r="O204" s="63"/>
      <c r="P204" s="684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0.25" customHeight="1">
      <c r="A205" s="717"/>
      <c r="B205" s="120"/>
      <c r="C205" s="120"/>
      <c r="D205" s="347" t="s">
        <v>57</v>
      </c>
      <c r="E205" s="125"/>
      <c r="F205" s="125"/>
      <c r="G205" s="126"/>
      <c r="H205" s="599"/>
      <c r="I205" s="216"/>
      <c r="J205" s="216"/>
      <c r="K205" s="117"/>
      <c r="L205" s="63"/>
      <c r="M205" s="63"/>
      <c r="N205" s="63"/>
      <c r="O205" s="63"/>
      <c r="P205" s="684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0.25" customHeight="1">
      <c r="A206" s="717"/>
      <c r="B206" s="120"/>
      <c r="C206" s="120"/>
      <c r="D206" s="125"/>
      <c r="E206" s="161" t="s">
        <v>100</v>
      </c>
      <c r="F206" s="230"/>
      <c r="G206" s="231"/>
      <c r="H206" s="232" t="s">
        <v>94</v>
      </c>
      <c r="I206" s="216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4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128)</f>
        <v>128</v>
      </c>
      <c r="K206" s="117">
        <f t="shared" ref="K206:K208" ca="1" si="124">IF(I206&gt;0,J206*100/I206,0)</f>
        <v>73.142857142857139</v>
      </c>
      <c r="L206" s="63"/>
      <c r="M206" s="63"/>
      <c r="N206" s="63"/>
      <c r="O206" s="63"/>
      <c r="P206" s="684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0.25" customHeight="1">
      <c r="A207" s="717"/>
      <c r="B207" s="120"/>
      <c r="C207" s="120"/>
      <c r="D207" s="347"/>
      <c r="E207" s="149" t="s">
        <v>101</v>
      </c>
      <c r="F207" s="150"/>
      <c r="G207" s="150"/>
      <c r="H207" s="859" t="s">
        <v>102</v>
      </c>
      <c r="I207" s="216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4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8)</f>
        <v>8</v>
      </c>
      <c r="K207" s="117">
        <f t="shared" ca="1" si="124"/>
        <v>57.142857142857146</v>
      </c>
      <c r="L207" s="63"/>
      <c r="M207" s="63"/>
      <c r="N207" s="63"/>
      <c r="O207" s="63"/>
      <c r="P207" s="684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0.25" customHeight="1">
      <c r="A208" s="736"/>
      <c r="B208" s="214"/>
      <c r="C208" s="217" t="s">
        <v>103</v>
      </c>
      <c r="D208" s="208"/>
      <c r="E208" s="208"/>
      <c r="F208" s="233"/>
      <c r="G208" s="210"/>
      <c r="H208" s="222" t="s">
        <v>94</v>
      </c>
      <c r="I208" s="215">
        <f t="shared" ref="I208:J208" ca="1" si="125">I215</f>
        <v>58</v>
      </c>
      <c r="J208" s="215">
        <f t="shared" ca="1" si="125"/>
        <v>58</v>
      </c>
      <c r="K208" s="212">
        <f t="shared" ca="1" si="124"/>
        <v>100</v>
      </c>
      <c r="L208" s="213"/>
      <c r="M208" s="213"/>
      <c r="N208" s="213"/>
      <c r="O208" s="213"/>
      <c r="P208" s="737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713"/>
      <c r="B209" s="103"/>
      <c r="C209" s="856" t="s">
        <v>14</v>
      </c>
      <c r="D209" s="218" t="s">
        <v>15</v>
      </c>
      <c r="E209" s="103"/>
      <c r="F209" s="103"/>
      <c r="G209" s="106"/>
      <c r="H209" s="219" t="s">
        <v>12</v>
      </c>
      <c r="I209" s="223"/>
      <c r="J209" s="223"/>
      <c r="K209" s="224"/>
      <c r="L209" s="110">
        <f ca="1">L210+L211+L212</f>
        <v>812000</v>
      </c>
      <c r="M209" s="110"/>
      <c r="N209" s="110">
        <f ca="1">N210+N211+N212</f>
        <v>734322.25</v>
      </c>
      <c r="O209" s="110">
        <f ca="1">IF(L209&gt;0,N209*100/L209,0)</f>
        <v>90.433774630541876</v>
      </c>
      <c r="P209" s="714">
        <f>IF(M209&gt;0,N209*100/M209,0)</f>
        <v>0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0.25" customHeight="1">
      <c r="A210" s="715"/>
      <c r="B210" s="225"/>
      <c r="C210" s="24"/>
      <c r="D210" s="226" t="s">
        <v>95</v>
      </c>
      <c r="E210" s="24"/>
      <c r="F210" s="24"/>
      <c r="G210" s="25"/>
      <c r="H210" s="623" t="s">
        <v>12</v>
      </c>
      <c r="I210" s="128"/>
      <c r="J210" s="128"/>
      <c r="K210" s="117"/>
      <c r="L210" s="63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63"/>
      <c r="N210" s="227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48960)</f>
        <v>48960</v>
      </c>
      <c r="O210" s="63"/>
      <c r="P210" s="684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0.25" customHeight="1">
      <c r="A211" s="738"/>
      <c r="B211" s="225"/>
      <c r="C211" s="234"/>
      <c r="D211" s="226" t="s">
        <v>97</v>
      </c>
      <c r="E211" s="24"/>
      <c r="F211" s="24"/>
      <c r="G211" s="25"/>
      <c r="H211" s="623" t="s">
        <v>12</v>
      </c>
      <c r="I211" s="216"/>
      <c r="J211" s="216"/>
      <c r="K211" s="63"/>
      <c r="L211" s="63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63"/>
      <c r="N211" s="227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230580)</f>
        <v>230580</v>
      </c>
      <c r="O211" s="63"/>
      <c r="P211" s="684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20.25" customHeight="1">
      <c r="A212" s="738"/>
      <c r="B212" s="225"/>
      <c r="C212" s="234"/>
      <c r="D212" s="226" t="s">
        <v>96</v>
      </c>
      <c r="E212" s="24"/>
      <c r="F212" s="24"/>
      <c r="G212" s="25"/>
      <c r="H212" s="623" t="s">
        <v>12</v>
      </c>
      <c r="I212" s="216"/>
      <c r="J212" s="216"/>
      <c r="K212" s="63"/>
      <c r="L212" s="63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63"/>
      <c r="N212" s="227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454782.25)</f>
        <v>454782.25</v>
      </c>
      <c r="O212" s="63"/>
      <c r="P212" s="684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20.25" customHeight="1">
      <c r="A213" s="717"/>
      <c r="B213" s="120"/>
      <c r="C213" s="856" t="s">
        <v>14</v>
      </c>
      <c r="D213" s="121" t="s">
        <v>36</v>
      </c>
      <c r="E213" s="122"/>
      <c r="F213" s="122"/>
      <c r="G213" s="123"/>
      <c r="H213" s="599"/>
      <c r="I213" s="128"/>
      <c r="J213" s="216"/>
      <c r="K213" s="63"/>
      <c r="L213" s="63"/>
      <c r="M213" s="63"/>
      <c r="N213" s="63"/>
      <c r="O213" s="117"/>
      <c r="P213" s="7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0.25" customHeight="1">
      <c r="A214" s="717"/>
      <c r="B214" s="120"/>
      <c r="C214" s="120"/>
      <c r="D214" s="124" t="s">
        <v>104</v>
      </c>
      <c r="E214" s="125"/>
      <c r="F214" s="125"/>
      <c r="G214" s="126"/>
      <c r="H214" s="599" t="s">
        <v>94</v>
      </c>
      <c r="I214" s="216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4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47)</f>
        <v>47</v>
      </c>
      <c r="K214" s="63">
        <f t="shared" ref="K214:K216" ca="1" si="126">IF(I214&gt;0,J214*100/I214,0)</f>
        <v>81.034482758620683</v>
      </c>
      <c r="L214" s="63"/>
      <c r="M214" s="63"/>
      <c r="N214" s="63"/>
      <c r="O214" s="63"/>
      <c r="P214" s="684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0.25" customHeight="1">
      <c r="A215" s="717"/>
      <c r="B215" s="120"/>
      <c r="C215" s="120"/>
      <c r="D215" s="124" t="s">
        <v>105</v>
      </c>
      <c r="E215" s="125"/>
      <c r="F215" s="125"/>
      <c r="G215" s="126"/>
      <c r="H215" s="599" t="s">
        <v>94</v>
      </c>
      <c r="I215" s="216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4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63">
        <f t="shared" ca="1" si="126"/>
        <v>100</v>
      </c>
      <c r="L215" s="63"/>
      <c r="M215" s="63"/>
      <c r="N215" s="63"/>
      <c r="O215" s="63"/>
      <c r="P215" s="684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0.25" customHeight="1">
      <c r="A216" s="736"/>
      <c r="B216" s="214"/>
      <c r="C216" s="217" t="s">
        <v>106</v>
      </c>
      <c r="D216" s="208"/>
      <c r="E216" s="208"/>
      <c r="F216" s="233"/>
      <c r="G216" s="210"/>
      <c r="H216" s="211" t="s">
        <v>107</v>
      </c>
      <c r="I216" s="215">
        <f t="shared" ref="I216:J216" ca="1" si="127">I224</f>
        <v>2569000</v>
      </c>
      <c r="J216" s="215">
        <f t="shared" ca="1" si="127"/>
        <v>960400</v>
      </c>
      <c r="K216" s="212">
        <f t="shared" ca="1" si="126"/>
        <v>37.3841961852861</v>
      </c>
      <c r="L216" s="213"/>
      <c r="M216" s="213"/>
      <c r="N216" s="213"/>
      <c r="O216" s="213"/>
      <c r="P216" s="737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713"/>
      <c r="B217" s="103"/>
      <c r="C217" s="856" t="s">
        <v>14</v>
      </c>
      <c r="D217" s="218" t="s">
        <v>15</v>
      </c>
      <c r="E217" s="103"/>
      <c r="F217" s="103"/>
      <c r="G217" s="106"/>
      <c r="H217" s="219" t="s">
        <v>12</v>
      </c>
      <c r="I217" s="223"/>
      <c r="J217" s="223"/>
      <c r="K217" s="224"/>
      <c r="L217" s="110">
        <f ca="1">L218+L219+L220</f>
        <v>1153900</v>
      </c>
      <c r="M217" s="110"/>
      <c r="N217" s="110">
        <f ca="1">N218+N219+N220</f>
        <v>286514.7</v>
      </c>
      <c r="O217" s="110">
        <f ca="1">IF(L217&gt;0,N217*100/L217,0)</f>
        <v>24.830115261287805</v>
      </c>
      <c r="P217" s="714">
        <f>IF(M217&gt;0,N217*100/M217,0)</f>
        <v>0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0.25" customHeight="1">
      <c r="A218" s="715"/>
      <c r="B218" s="225"/>
      <c r="C218" s="24"/>
      <c r="D218" s="226" t="s">
        <v>95</v>
      </c>
      <c r="E218" s="24"/>
      <c r="F218" s="24"/>
      <c r="G218" s="25"/>
      <c r="H218" s="623" t="s">
        <v>12</v>
      </c>
      <c r="I218" s="128"/>
      <c r="J218" s="128"/>
      <c r="K218" s="117"/>
      <c r="L218" s="63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63"/>
      <c r="N218" s="227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62585)</f>
        <v>62585</v>
      </c>
      <c r="O218" s="63"/>
      <c r="P218" s="684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0.25" customHeight="1">
      <c r="A219" s="738"/>
      <c r="B219" s="225"/>
      <c r="C219" s="234"/>
      <c r="D219" s="226" t="s">
        <v>108</v>
      </c>
      <c r="E219" s="24"/>
      <c r="F219" s="24"/>
      <c r="G219" s="25"/>
      <c r="H219" s="623" t="s">
        <v>12</v>
      </c>
      <c r="I219" s="216"/>
      <c r="J219" s="216"/>
      <c r="K219" s="63"/>
      <c r="L219" s="63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63"/>
      <c r="N219" s="227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72253)</f>
        <v>72253</v>
      </c>
      <c r="O219" s="63"/>
      <c r="P219" s="684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20.25" customHeight="1">
      <c r="A220" s="738"/>
      <c r="B220" s="225"/>
      <c r="C220" s="234"/>
      <c r="D220" s="226" t="s">
        <v>96</v>
      </c>
      <c r="E220" s="24"/>
      <c r="F220" s="24"/>
      <c r="G220" s="25"/>
      <c r="H220" s="623" t="s">
        <v>12</v>
      </c>
      <c r="I220" s="216"/>
      <c r="J220" s="216"/>
      <c r="K220" s="63"/>
      <c r="L220" s="63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63"/>
      <c r="N220" s="227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151676.7)</f>
        <v>151676.70000000001</v>
      </c>
      <c r="O220" s="63"/>
      <c r="P220" s="684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20.25" customHeight="1">
      <c r="A221" s="717"/>
      <c r="B221" s="120"/>
      <c r="C221" s="856" t="s">
        <v>14</v>
      </c>
      <c r="D221" s="121" t="s">
        <v>36</v>
      </c>
      <c r="E221" s="122"/>
      <c r="F221" s="122"/>
      <c r="G221" s="123"/>
      <c r="H221" s="599"/>
      <c r="I221" s="128"/>
      <c r="J221" s="128"/>
      <c r="K221" s="117"/>
      <c r="L221" s="117"/>
      <c r="M221" s="117"/>
      <c r="N221" s="117"/>
      <c r="O221" s="117"/>
      <c r="P221" s="7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0.25" customHeight="1">
      <c r="A222" s="717"/>
      <c r="B222" s="120"/>
      <c r="C222" s="120"/>
      <c r="D222" s="226" t="s">
        <v>109</v>
      </c>
      <c r="E222" s="125"/>
      <c r="F222" s="125"/>
      <c r="G222" s="126"/>
      <c r="H222" s="599"/>
      <c r="I222" s="216"/>
      <c r="J222" s="216"/>
      <c r="K222" s="117"/>
      <c r="L222" s="117"/>
      <c r="M222" s="117"/>
      <c r="N222" s="117"/>
      <c r="O222" s="117"/>
      <c r="P222" s="7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0.25" customHeight="1">
      <c r="A223" s="717"/>
      <c r="B223" s="120"/>
      <c r="C223" s="120"/>
      <c r="D223" s="120"/>
      <c r="E223" s="124" t="s">
        <v>110</v>
      </c>
      <c r="F223" s="125"/>
      <c r="G223" s="126"/>
      <c r="H223" s="601" t="s">
        <v>107</v>
      </c>
      <c r="I223" s="216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4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1368000)</f>
        <v>1368000</v>
      </c>
      <c r="K223" s="117">
        <f t="shared" ref="K223:K226" ca="1" si="128">IF(I223&gt;0,J223*100/I223,0)</f>
        <v>53.250291942390035</v>
      </c>
      <c r="L223" s="117"/>
      <c r="M223" s="117"/>
      <c r="N223" s="117"/>
      <c r="O223" s="117"/>
      <c r="P223" s="7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0.25" customHeight="1">
      <c r="A224" s="717"/>
      <c r="B224" s="120"/>
      <c r="C224" s="120"/>
      <c r="D224" s="120"/>
      <c r="E224" s="124" t="s">
        <v>111</v>
      </c>
      <c r="F224" s="125"/>
      <c r="G224" s="126"/>
      <c r="H224" s="601" t="s">
        <v>107</v>
      </c>
      <c r="I224" s="216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4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960400)</f>
        <v>960400</v>
      </c>
      <c r="K224" s="117">
        <f t="shared" ca="1" si="128"/>
        <v>37.3841961852861</v>
      </c>
      <c r="L224" s="63"/>
      <c r="M224" s="63"/>
      <c r="N224" s="63"/>
      <c r="O224" s="63"/>
      <c r="P224" s="684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0.25" customHeight="1">
      <c r="A225" s="717"/>
      <c r="B225" s="120"/>
      <c r="C225" s="120"/>
      <c r="D225" s="226" t="s">
        <v>112</v>
      </c>
      <c r="E225" s="125"/>
      <c r="F225" s="125"/>
      <c r="G225" s="126"/>
      <c r="H225" s="601" t="s">
        <v>33</v>
      </c>
      <c r="I225" s="216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4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17">
        <f t="shared" ca="1" si="128"/>
        <v>100</v>
      </c>
      <c r="L225" s="63"/>
      <c r="M225" s="63"/>
      <c r="N225" s="63"/>
      <c r="O225" s="63"/>
      <c r="P225" s="684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0.25" customHeight="1">
      <c r="A226" s="736"/>
      <c r="B226" s="214"/>
      <c r="C226" s="217" t="s">
        <v>113</v>
      </c>
      <c r="D226" s="208"/>
      <c r="E226" s="208"/>
      <c r="F226" s="208"/>
      <c r="G226" s="210"/>
      <c r="H226" s="211" t="s">
        <v>33</v>
      </c>
      <c r="I226" s="215">
        <f t="shared" ref="I226:J226" ca="1" si="129">I237+I248</f>
        <v>840</v>
      </c>
      <c r="J226" s="215">
        <f t="shared" ca="1" si="129"/>
        <v>850</v>
      </c>
      <c r="K226" s="212">
        <f t="shared" ca="1" si="128"/>
        <v>101.19047619047619</v>
      </c>
      <c r="L226" s="213"/>
      <c r="M226" s="213"/>
      <c r="N226" s="213"/>
      <c r="O226" s="213"/>
      <c r="P226" s="737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713"/>
      <c r="B227" s="103"/>
      <c r="C227" s="856" t="s">
        <v>14</v>
      </c>
      <c r="D227" s="105" t="s">
        <v>15</v>
      </c>
      <c r="E227" s="103"/>
      <c r="F227" s="103"/>
      <c r="G227" s="106"/>
      <c r="H227" s="219" t="s">
        <v>12</v>
      </c>
      <c r="I227" s="223"/>
      <c r="J227" s="223"/>
      <c r="K227" s="224"/>
      <c r="L227" s="110">
        <f t="shared" ref="L227:L231" ca="1" si="130">L238+L249</f>
        <v>4277230</v>
      </c>
      <c r="M227" s="110"/>
      <c r="N227" s="110">
        <f t="shared" ref="N227:N231" ca="1" si="131">N238+N249</f>
        <v>3413542.94</v>
      </c>
      <c r="O227" s="110">
        <f ca="1">IF(L227&gt;0,N227*100/L227,0)</f>
        <v>79.807327172024884</v>
      </c>
      <c r="P227" s="714">
        <f>IF(M227&gt;0,N227*100/M227,0)</f>
        <v>0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0.25" customHeight="1">
      <c r="A228" s="715"/>
      <c r="B228" s="225"/>
      <c r="C228" s="24"/>
      <c r="D228" s="226" t="s">
        <v>95</v>
      </c>
      <c r="E228" s="24"/>
      <c r="F228" s="24"/>
      <c r="G228" s="25"/>
      <c r="H228" s="623" t="s">
        <v>12</v>
      </c>
      <c r="I228" s="128"/>
      <c r="J228" s="128"/>
      <c r="K228" s="117"/>
      <c r="L228" s="63">
        <f t="shared" ca="1" si="130"/>
        <v>2275900</v>
      </c>
      <c r="M228" s="63"/>
      <c r="N228" s="63">
        <f t="shared" ca="1" si="131"/>
        <v>1617286.67</v>
      </c>
      <c r="O228" s="63"/>
      <c r="P228" s="684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0.25" customHeight="1">
      <c r="A229" s="738"/>
      <c r="B229" s="225"/>
      <c r="C229" s="234"/>
      <c r="D229" s="226" t="s">
        <v>96</v>
      </c>
      <c r="E229" s="24"/>
      <c r="F229" s="24"/>
      <c r="G229" s="25"/>
      <c r="H229" s="623" t="s">
        <v>12</v>
      </c>
      <c r="I229" s="216"/>
      <c r="J229" s="216"/>
      <c r="K229" s="63"/>
      <c r="L229" s="63">
        <f t="shared" ca="1" si="130"/>
        <v>1263830</v>
      </c>
      <c r="M229" s="63"/>
      <c r="N229" s="63">
        <f t="shared" ca="1" si="131"/>
        <v>1204031.27</v>
      </c>
      <c r="O229" s="63"/>
      <c r="P229" s="684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20.25" customHeight="1">
      <c r="A230" s="738"/>
      <c r="B230" s="225"/>
      <c r="C230" s="234"/>
      <c r="D230" s="226" t="s">
        <v>114</v>
      </c>
      <c r="E230" s="24"/>
      <c r="F230" s="24"/>
      <c r="G230" s="25"/>
      <c r="H230" s="623" t="s">
        <v>12</v>
      </c>
      <c r="I230" s="216"/>
      <c r="J230" s="216"/>
      <c r="K230" s="63"/>
      <c r="L230" s="63">
        <f t="shared" ca="1" si="130"/>
        <v>357500</v>
      </c>
      <c r="M230" s="63"/>
      <c r="N230" s="63">
        <f t="shared" ca="1" si="131"/>
        <v>292500</v>
      </c>
      <c r="O230" s="63"/>
      <c r="P230" s="684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20.25" customHeight="1">
      <c r="A231" s="738"/>
      <c r="B231" s="225"/>
      <c r="C231" s="234"/>
      <c r="D231" s="226" t="s">
        <v>98</v>
      </c>
      <c r="E231" s="24"/>
      <c r="F231" s="24"/>
      <c r="G231" s="25"/>
      <c r="H231" s="623" t="s">
        <v>12</v>
      </c>
      <c r="I231" s="216"/>
      <c r="J231" s="216"/>
      <c r="K231" s="63"/>
      <c r="L231" s="63">
        <f t="shared" ca="1" si="130"/>
        <v>380000</v>
      </c>
      <c r="M231" s="63"/>
      <c r="N231" s="63">
        <f t="shared" ca="1" si="131"/>
        <v>299725</v>
      </c>
      <c r="O231" s="63"/>
      <c r="P231" s="684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20.25" customHeight="1">
      <c r="A232" s="717"/>
      <c r="B232" s="120"/>
      <c r="C232" s="856" t="s">
        <v>14</v>
      </c>
      <c r="D232" s="121" t="s">
        <v>36</v>
      </c>
      <c r="E232" s="122"/>
      <c r="F232" s="122"/>
      <c r="G232" s="123"/>
      <c r="H232" s="599"/>
      <c r="I232" s="128"/>
      <c r="J232" s="216"/>
      <c r="K232" s="63"/>
      <c r="L232" s="63"/>
      <c r="M232" s="63"/>
      <c r="N232" s="63"/>
      <c r="O232" s="117"/>
      <c r="P232" s="7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0.25" customHeight="1">
      <c r="A233" s="717"/>
      <c r="B233" s="120"/>
      <c r="C233" s="120"/>
      <c r="D233" s="347" t="s">
        <v>115</v>
      </c>
      <c r="E233" s="125"/>
      <c r="F233" s="125"/>
      <c r="G233" s="126"/>
      <c r="H233" s="601" t="s">
        <v>33</v>
      </c>
      <c r="I233" s="216">
        <f t="shared" ref="I233:J233" ca="1" si="132">I244+I255</f>
        <v>840</v>
      </c>
      <c r="J233" s="216">
        <f t="shared" ca="1" si="132"/>
        <v>850</v>
      </c>
      <c r="K233" s="63">
        <f ca="1">IF(I233&gt;0,J233*100/I233,0)</f>
        <v>101.19047619047619</v>
      </c>
      <c r="L233" s="63"/>
      <c r="M233" s="63"/>
      <c r="N233" s="63"/>
      <c r="O233" s="63"/>
      <c r="P233" s="684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0.25" customHeight="1">
      <c r="A234" s="717"/>
      <c r="B234" s="120"/>
      <c r="C234" s="120"/>
      <c r="D234" s="235" t="s">
        <v>41</v>
      </c>
      <c r="E234" s="125"/>
      <c r="F234" s="125"/>
      <c r="G234" s="126"/>
      <c r="H234" s="601"/>
      <c r="I234" s="216"/>
      <c r="J234" s="216"/>
      <c r="K234" s="63"/>
      <c r="L234" s="63"/>
      <c r="M234" s="63"/>
      <c r="N234" s="63"/>
      <c r="O234" s="117"/>
      <c r="P234" s="7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0.25" customHeight="1">
      <c r="A235" s="717"/>
      <c r="B235" s="120"/>
      <c r="C235" s="120"/>
      <c r="D235" s="120"/>
      <c r="E235" s="124" t="s">
        <v>116</v>
      </c>
      <c r="F235" s="125"/>
      <c r="G235" s="126"/>
      <c r="H235" s="601" t="s">
        <v>33</v>
      </c>
      <c r="I235" s="216">
        <f t="shared" ref="I235:J235" ca="1" si="133">I246+I257</f>
        <v>440</v>
      </c>
      <c r="J235" s="216">
        <f t="shared" ca="1" si="133"/>
        <v>360</v>
      </c>
      <c r="K235" s="63">
        <f t="shared" ref="K235:K237" ca="1" si="134">IF(I235&gt;0,J235*100/I235,0)</f>
        <v>81.818181818181813</v>
      </c>
      <c r="L235" s="63"/>
      <c r="M235" s="63"/>
      <c r="N235" s="63"/>
      <c r="O235" s="63"/>
      <c r="P235" s="684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0.25" customHeight="1">
      <c r="A236" s="717"/>
      <c r="B236" s="120"/>
      <c r="C236" s="120"/>
      <c r="D236" s="120"/>
      <c r="E236" s="124" t="s">
        <v>117</v>
      </c>
      <c r="F236" s="125"/>
      <c r="G236" s="126"/>
      <c r="H236" s="601" t="s">
        <v>64</v>
      </c>
      <c r="I236" s="216">
        <f t="shared" ref="I236:J236" ca="1" si="135">I247+I258</f>
        <v>28</v>
      </c>
      <c r="J236" s="216">
        <f t="shared" ca="1" si="135"/>
        <v>21</v>
      </c>
      <c r="K236" s="63">
        <f t="shared" ca="1" si="134"/>
        <v>75</v>
      </c>
      <c r="L236" s="63"/>
      <c r="M236" s="63"/>
      <c r="N236" s="63"/>
      <c r="O236" s="63"/>
      <c r="P236" s="684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0.25" hidden="1" customHeight="1">
      <c r="A237" s="739"/>
      <c r="B237" s="236"/>
      <c r="C237" s="237" t="s">
        <v>118</v>
      </c>
      <c r="D237" s="238"/>
      <c r="E237" s="238"/>
      <c r="F237" s="238"/>
      <c r="G237" s="239"/>
      <c r="H237" s="240" t="s">
        <v>33</v>
      </c>
      <c r="I237" s="241">
        <f t="shared" ref="I237:J237" ca="1" si="136">I244</f>
        <v>730</v>
      </c>
      <c r="J237" s="241">
        <f t="shared" ca="1" si="136"/>
        <v>740</v>
      </c>
      <c r="K237" s="242">
        <f t="shared" ca="1" si="134"/>
        <v>101.36986301369863</v>
      </c>
      <c r="L237" s="243"/>
      <c r="M237" s="243"/>
      <c r="N237" s="243"/>
      <c r="O237" s="243"/>
      <c r="P237" s="740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</row>
    <row r="238" spans="1:26" ht="20.25" hidden="1" customHeight="1">
      <c r="A238" s="741"/>
      <c r="B238" s="245"/>
      <c r="C238" s="246" t="s">
        <v>14</v>
      </c>
      <c r="D238" s="247" t="s">
        <v>15</v>
      </c>
      <c r="E238" s="245"/>
      <c r="F238" s="245"/>
      <c r="G238" s="248"/>
      <c r="H238" s="249" t="s">
        <v>12</v>
      </c>
      <c r="I238" s="250"/>
      <c r="J238" s="250"/>
      <c r="K238" s="251"/>
      <c r="L238" s="252">
        <f ca="1">L239+L240+L241+L242</f>
        <v>3807530</v>
      </c>
      <c r="M238" s="252"/>
      <c r="N238" s="252">
        <f ca="1">N239+N240+N241+N242</f>
        <v>3041082.94</v>
      </c>
      <c r="O238" s="252">
        <f ca="1">IF(L238&gt;0,N238*100/L238,0)</f>
        <v>79.870229256236982</v>
      </c>
      <c r="P238" s="742">
        <f>IF(M238&gt;0,N238*100/M238,0)</f>
        <v>0</v>
      </c>
      <c r="Q238" s="253"/>
      <c r="R238" s="253"/>
      <c r="S238" s="253"/>
      <c r="T238" s="253"/>
      <c r="U238" s="253"/>
      <c r="V238" s="253"/>
      <c r="W238" s="253"/>
      <c r="X238" s="253"/>
      <c r="Y238" s="253"/>
      <c r="Z238" s="253"/>
    </row>
    <row r="239" spans="1:26" ht="20.25" hidden="1" customHeight="1">
      <c r="A239" s="743"/>
      <c r="B239" s="254"/>
      <c r="C239" s="255"/>
      <c r="D239" s="263" t="s">
        <v>95</v>
      </c>
      <c r="E239" s="255"/>
      <c r="F239" s="255"/>
      <c r="G239" s="256"/>
      <c r="H239" s="257" t="s">
        <v>12</v>
      </c>
      <c r="I239" s="258"/>
      <c r="J239" s="258"/>
      <c r="K239" s="259"/>
      <c r="L239" s="260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60"/>
      <c r="N239" s="261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1459686.67)</f>
        <v>1459686.67</v>
      </c>
      <c r="O239" s="260"/>
      <c r="P239" s="744"/>
      <c r="Q239" s="253"/>
      <c r="R239" s="253"/>
      <c r="S239" s="253"/>
      <c r="T239" s="253"/>
      <c r="U239" s="253"/>
      <c r="V239" s="253"/>
      <c r="W239" s="253"/>
      <c r="X239" s="253"/>
      <c r="Y239" s="253"/>
      <c r="Z239" s="253"/>
    </row>
    <row r="240" spans="1:26" ht="20.25" hidden="1" customHeight="1">
      <c r="A240" s="745"/>
      <c r="B240" s="254"/>
      <c r="C240" s="262"/>
      <c r="D240" s="263" t="s">
        <v>96</v>
      </c>
      <c r="E240" s="255"/>
      <c r="F240" s="255"/>
      <c r="G240" s="256"/>
      <c r="H240" s="257" t="s">
        <v>12</v>
      </c>
      <c r="I240" s="264"/>
      <c r="J240" s="264"/>
      <c r="K240" s="260"/>
      <c r="L240" s="260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60"/>
      <c r="N240" s="261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1079171.27)</f>
        <v>1079171.27</v>
      </c>
      <c r="O240" s="260"/>
      <c r="P240" s="744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</row>
    <row r="241" spans="1:26" ht="20.25" hidden="1" customHeight="1">
      <c r="A241" s="745"/>
      <c r="B241" s="254"/>
      <c r="C241" s="262"/>
      <c r="D241" s="263" t="s">
        <v>114</v>
      </c>
      <c r="E241" s="255"/>
      <c r="F241" s="255"/>
      <c r="G241" s="256"/>
      <c r="H241" s="257" t="s">
        <v>12</v>
      </c>
      <c r="I241" s="264"/>
      <c r="J241" s="264"/>
      <c r="K241" s="260"/>
      <c r="L241" s="260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60"/>
      <c r="N241" s="261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232500)</f>
        <v>232500</v>
      </c>
      <c r="O241" s="260"/>
      <c r="P241" s="744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</row>
    <row r="242" spans="1:26" ht="20.25" hidden="1" customHeight="1">
      <c r="A242" s="745"/>
      <c r="B242" s="254"/>
      <c r="C242" s="262"/>
      <c r="D242" s="263" t="s">
        <v>98</v>
      </c>
      <c r="E242" s="255"/>
      <c r="F242" s="255"/>
      <c r="G242" s="256"/>
      <c r="H242" s="257" t="s">
        <v>12</v>
      </c>
      <c r="I242" s="264"/>
      <c r="J242" s="264"/>
      <c r="K242" s="260"/>
      <c r="L242" s="260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60"/>
      <c r="N242" s="261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269725)</f>
        <v>269725</v>
      </c>
      <c r="O242" s="260"/>
      <c r="P242" s="744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</row>
    <row r="243" spans="1:26" ht="20.25" hidden="1" customHeight="1">
      <c r="A243" s="746"/>
      <c r="B243" s="266"/>
      <c r="C243" s="262" t="s">
        <v>14</v>
      </c>
      <c r="D243" s="267" t="s">
        <v>36</v>
      </c>
      <c r="E243" s="268"/>
      <c r="F243" s="268"/>
      <c r="G243" s="269"/>
      <c r="H243" s="270"/>
      <c r="I243" s="258"/>
      <c r="J243" s="264"/>
      <c r="K243" s="260"/>
      <c r="L243" s="260"/>
      <c r="M243" s="260"/>
      <c r="N243" s="260"/>
      <c r="O243" s="259"/>
      <c r="P243" s="747"/>
      <c r="Q243" s="253"/>
      <c r="R243" s="253"/>
      <c r="S243" s="253"/>
      <c r="T243" s="253"/>
      <c r="U243" s="253"/>
      <c r="V243" s="253"/>
      <c r="W243" s="253"/>
      <c r="X243" s="253"/>
      <c r="Y243" s="253"/>
      <c r="Z243" s="253"/>
    </row>
    <row r="244" spans="1:26" ht="20.25" hidden="1" customHeight="1">
      <c r="A244" s="746"/>
      <c r="B244" s="266"/>
      <c r="C244" s="266"/>
      <c r="D244" s="271" t="s">
        <v>115</v>
      </c>
      <c r="E244" s="276"/>
      <c r="F244" s="276"/>
      <c r="G244" s="272"/>
      <c r="H244" s="273" t="s">
        <v>33</v>
      </c>
      <c r="I244" s="264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74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260">
        <f ca="1">IF(I244&gt;0,J244*100/I244,0)</f>
        <v>101.36986301369863</v>
      </c>
      <c r="L244" s="260"/>
      <c r="M244" s="260"/>
      <c r="N244" s="260"/>
      <c r="O244" s="260"/>
      <c r="P244" s="744"/>
      <c r="Q244" s="253"/>
      <c r="R244" s="253"/>
      <c r="S244" s="253"/>
      <c r="T244" s="253"/>
      <c r="U244" s="253"/>
      <c r="V244" s="253"/>
      <c r="W244" s="253"/>
      <c r="X244" s="253"/>
      <c r="Y244" s="253"/>
      <c r="Z244" s="253"/>
    </row>
    <row r="245" spans="1:26" ht="20.25" hidden="1" customHeight="1">
      <c r="A245" s="746"/>
      <c r="B245" s="266"/>
      <c r="C245" s="266"/>
      <c r="D245" s="275" t="s">
        <v>41</v>
      </c>
      <c r="E245" s="276"/>
      <c r="F245" s="276"/>
      <c r="G245" s="272"/>
      <c r="H245" s="273"/>
      <c r="I245" s="264"/>
      <c r="J245" s="264"/>
      <c r="K245" s="260"/>
      <c r="L245" s="260"/>
      <c r="M245" s="260"/>
      <c r="N245" s="260"/>
      <c r="O245" s="259"/>
      <c r="P245" s="747"/>
      <c r="Q245" s="253"/>
      <c r="R245" s="253"/>
      <c r="S245" s="253"/>
      <c r="T245" s="253"/>
      <c r="U245" s="253"/>
      <c r="V245" s="253"/>
      <c r="W245" s="253"/>
      <c r="X245" s="253"/>
      <c r="Y245" s="253"/>
      <c r="Z245" s="253"/>
    </row>
    <row r="246" spans="1:26" ht="20.25" hidden="1" customHeight="1">
      <c r="A246" s="746"/>
      <c r="B246" s="266"/>
      <c r="C246" s="266"/>
      <c r="D246" s="266"/>
      <c r="E246" s="277" t="s">
        <v>116</v>
      </c>
      <c r="F246" s="276"/>
      <c r="G246" s="272"/>
      <c r="H246" s="273" t="s">
        <v>33</v>
      </c>
      <c r="I246" s="264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74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330)</f>
        <v>330</v>
      </c>
      <c r="K246" s="260">
        <f t="shared" ref="K246:K248" ca="1" si="137">IF(I246&gt;0,J246*100/I246,0)</f>
        <v>89.189189189189193</v>
      </c>
      <c r="L246" s="260"/>
      <c r="M246" s="260"/>
      <c r="N246" s="260"/>
      <c r="O246" s="260"/>
      <c r="P246" s="744"/>
      <c r="Q246" s="253"/>
      <c r="R246" s="253"/>
      <c r="S246" s="253"/>
      <c r="T246" s="253"/>
      <c r="U246" s="253"/>
      <c r="V246" s="253"/>
      <c r="W246" s="253"/>
      <c r="X246" s="253"/>
      <c r="Y246" s="253"/>
      <c r="Z246" s="253"/>
    </row>
    <row r="247" spans="1:26" ht="20.25" hidden="1" customHeight="1">
      <c r="A247" s="746"/>
      <c r="B247" s="266"/>
      <c r="C247" s="266"/>
      <c r="D247" s="266"/>
      <c r="E247" s="277" t="s">
        <v>117</v>
      </c>
      <c r="F247" s="276"/>
      <c r="G247" s="272"/>
      <c r="H247" s="273" t="s">
        <v>64</v>
      </c>
      <c r="I247" s="264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74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18)</f>
        <v>18</v>
      </c>
      <c r="K247" s="260">
        <f t="shared" ca="1" si="137"/>
        <v>72</v>
      </c>
      <c r="L247" s="260"/>
      <c r="M247" s="260"/>
      <c r="N247" s="260"/>
      <c r="O247" s="260"/>
      <c r="P247" s="744"/>
      <c r="Q247" s="253"/>
      <c r="R247" s="253"/>
      <c r="S247" s="253"/>
      <c r="T247" s="253"/>
      <c r="U247" s="253"/>
      <c r="V247" s="253"/>
      <c r="W247" s="253"/>
      <c r="X247" s="253"/>
      <c r="Y247" s="253"/>
      <c r="Z247" s="253"/>
    </row>
    <row r="248" spans="1:26" ht="20.25" hidden="1" customHeight="1">
      <c r="A248" s="739"/>
      <c r="B248" s="236"/>
      <c r="C248" s="237" t="s">
        <v>119</v>
      </c>
      <c r="D248" s="238"/>
      <c r="E248" s="238"/>
      <c r="F248" s="238"/>
      <c r="G248" s="239"/>
      <c r="H248" s="240" t="s">
        <v>33</v>
      </c>
      <c r="I248" s="241">
        <f t="shared" ref="I248:J248" ca="1" si="138">I255</f>
        <v>110</v>
      </c>
      <c r="J248" s="241">
        <f t="shared" ca="1" si="138"/>
        <v>110</v>
      </c>
      <c r="K248" s="242">
        <f t="shared" ca="1" si="137"/>
        <v>100</v>
      </c>
      <c r="L248" s="243"/>
      <c r="M248" s="243"/>
      <c r="N248" s="243"/>
      <c r="O248" s="243"/>
      <c r="P248" s="740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</row>
    <row r="249" spans="1:26" ht="20.25" hidden="1" customHeight="1">
      <c r="A249" s="741"/>
      <c r="B249" s="245"/>
      <c r="C249" s="246" t="s">
        <v>14</v>
      </c>
      <c r="D249" s="278" t="s">
        <v>15</v>
      </c>
      <c r="E249" s="245"/>
      <c r="F249" s="245"/>
      <c r="G249" s="248"/>
      <c r="H249" s="249" t="s">
        <v>12</v>
      </c>
      <c r="I249" s="250"/>
      <c r="J249" s="250"/>
      <c r="K249" s="251"/>
      <c r="L249" s="252">
        <f ca="1">L250+L251+L252+L253</f>
        <v>469700</v>
      </c>
      <c r="M249" s="252"/>
      <c r="N249" s="252">
        <f ca="1">N250+N251+N252+N253</f>
        <v>372460</v>
      </c>
      <c r="O249" s="252">
        <f ca="1">IF(L249&gt;0,N249*100/L249,0)</f>
        <v>79.297423887587826</v>
      </c>
      <c r="P249" s="742">
        <f>IF(M249&gt;0,N249*100/M249,0)</f>
        <v>0</v>
      </c>
      <c r="Q249" s="253"/>
      <c r="R249" s="253"/>
      <c r="S249" s="253"/>
      <c r="T249" s="253"/>
      <c r="U249" s="253"/>
      <c r="V249" s="253"/>
      <c r="W249" s="253"/>
      <c r="X249" s="253"/>
      <c r="Y249" s="253"/>
      <c r="Z249" s="253"/>
    </row>
    <row r="250" spans="1:26" ht="20.25" hidden="1" customHeight="1">
      <c r="A250" s="743"/>
      <c r="B250" s="254"/>
      <c r="C250" s="255"/>
      <c r="D250" s="263" t="s">
        <v>95</v>
      </c>
      <c r="E250" s="255"/>
      <c r="F250" s="255"/>
      <c r="G250" s="256"/>
      <c r="H250" s="257" t="s">
        <v>12</v>
      </c>
      <c r="I250" s="258"/>
      <c r="J250" s="258"/>
      <c r="K250" s="259"/>
      <c r="L250" s="260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60"/>
      <c r="N250" s="261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157600)</f>
        <v>157600</v>
      </c>
      <c r="O250" s="260"/>
      <c r="P250" s="744"/>
      <c r="Q250" s="253"/>
      <c r="R250" s="253"/>
      <c r="S250" s="253"/>
      <c r="T250" s="253"/>
      <c r="U250" s="253"/>
      <c r="V250" s="253"/>
      <c r="W250" s="253"/>
      <c r="X250" s="253"/>
      <c r="Y250" s="253"/>
      <c r="Z250" s="253"/>
    </row>
    <row r="251" spans="1:26" ht="20.25" hidden="1" customHeight="1">
      <c r="A251" s="745"/>
      <c r="B251" s="254"/>
      <c r="C251" s="262"/>
      <c r="D251" s="263" t="s">
        <v>96</v>
      </c>
      <c r="E251" s="255"/>
      <c r="F251" s="255"/>
      <c r="G251" s="256"/>
      <c r="H251" s="257" t="s">
        <v>12</v>
      </c>
      <c r="I251" s="264"/>
      <c r="J251" s="264"/>
      <c r="K251" s="260"/>
      <c r="L251" s="260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60"/>
      <c r="N251" s="261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60"/>
      <c r="P251" s="744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</row>
    <row r="252" spans="1:26" ht="20.25" hidden="1" customHeight="1">
      <c r="A252" s="745"/>
      <c r="B252" s="254"/>
      <c r="C252" s="262"/>
      <c r="D252" s="263" t="s">
        <v>114</v>
      </c>
      <c r="E252" s="255"/>
      <c r="F252" s="255"/>
      <c r="G252" s="256"/>
      <c r="H252" s="257" t="s">
        <v>12</v>
      </c>
      <c r="I252" s="264"/>
      <c r="J252" s="264"/>
      <c r="K252" s="260"/>
      <c r="L252" s="260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60"/>
      <c r="N252" s="261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260"/>
      <c r="P252" s="744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</row>
    <row r="253" spans="1:26" ht="20.25" hidden="1" customHeight="1">
      <c r="A253" s="745"/>
      <c r="B253" s="254"/>
      <c r="C253" s="262"/>
      <c r="D253" s="263" t="s">
        <v>98</v>
      </c>
      <c r="E253" s="255"/>
      <c r="F253" s="255"/>
      <c r="G253" s="256"/>
      <c r="H253" s="257" t="s">
        <v>12</v>
      </c>
      <c r="I253" s="264"/>
      <c r="J253" s="264"/>
      <c r="K253" s="260"/>
      <c r="L253" s="260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60"/>
      <c r="N253" s="261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30000)</f>
        <v>30000</v>
      </c>
      <c r="O253" s="260"/>
      <c r="P253" s="744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</row>
    <row r="254" spans="1:26" ht="20.25" hidden="1" customHeight="1">
      <c r="A254" s="746"/>
      <c r="B254" s="266"/>
      <c r="C254" s="262" t="s">
        <v>14</v>
      </c>
      <c r="D254" s="267" t="s">
        <v>36</v>
      </c>
      <c r="E254" s="268"/>
      <c r="F254" s="268"/>
      <c r="G254" s="269"/>
      <c r="H254" s="270"/>
      <c r="I254" s="258"/>
      <c r="J254" s="264"/>
      <c r="K254" s="260"/>
      <c r="L254" s="260"/>
      <c r="M254" s="260"/>
      <c r="N254" s="260"/>
      <c r="O254" s="259"/>
      <c r="P254" s="747"/>
      <c r="Q254" s="253"/>
      <c r="R254" s="253"/>
      <c r="S254" s="253"/>
      <c r="T254" s="253"/>
      <c r="U254" s="253"/>
      <c r="V254" s="253"/>
      <c r="W254" s="253"/>
      <c r="X254" s="253"/>
      <c r="Y254" s="253"/>
      <c r="Z254" s="253"/>
    </row>
    <row r="255" spans="1:26" ht="20.25" hidden="1" customHeight="1">
      <c r="A255" s="746"/>
      <c r="B255" s="266"/>
      <c r="C255" s="266"/>
      <c r="D255" s="271" t="s">
        <v>115</v>
      </c>
      <c r="E255" s="276"/>
      <c r="F255" s="276"/>
      <c r="G255" s="272"/>
      <c r="H255" s="273" t="s">
        <v>33</v>
      </c>
      <c r="I255" s="264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74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60">
        <f ca="1">IF(I255&gt;0,J255*100/I255,0)</f>
        <v>100</v>
      </c>
      <c r="L255" s="260"/>
      <c r="M255" s="260"/>
      <c r="N255" s="260"/>
      <c r="O255" s="260"/>
      <c r="P255" s="744"/>
      <c r="Q255" s="253"/>
      <c r="R255" s="253"/>
      <c r="S255" s="253"/>
      <c r="T255" s="253"/>
      <c r="U255" s="253"/>
      <c r="V255" s="253"/>
      <c r="W255" s="253"/>
      <c r="X255" s="253"/>
      <c r="Y255" s="253"/>
      <c r="Z255" s="253"/>
    </row>
    <row r="256" spans="1:26" ht="20.25" hidden="1" customHeight="1">
      <c r="A256" s="746"/>
      <c r="B256" s="266"/>
      <c r="C256" s="266"/>
      <c r="D256" s="275" t="s">
        <v>41</v>
      </c>
      <c r="E256" s="276"/>
      <c r="F256" s="276"/>
      <c r="G256" s="272"/>
      <c r="H256" s="273"/>
      <c r="I256" s="264"/>
      <c r="J256" s="264"/>
      <c r="K256" s="260"/>
      <c r="L256" s="260"/>
      <c r="M256" s="260"/>
      <c r="N256" s="260"/>
      <c r="O256" s="259"/>
      <c r="P256" s="747"/>
      <c r="Q256" s="253"/>
      <c r="R256" s="253"/>
      <c r="S256" s="253"/>
      <c r="T256" s="253"/>
      <c r="U256" s="253"/>
      <c r="V256" s="253"/>
      <c r="W256" s="253"/>
      <c r="X256" s="253"/>
      <c r="Y256" s="253"/>
      <c r="Z256" s="253"/>
    </row>
    <row r="257" spans="1:26" ht="20.25" hidden="1" customHeight="1">
      <c r="A257" s="746"/>
      <c r="B257" s="266"/>
      <c r="C257" s="266"/>
      <c r="D257" s="266"/>
      <c r="E257" s="277" t="s">
        <v>116</v>
      </c>
      <c r="F257" s="276"/>
      <c r="G257" s="272"/>
      <c r="H257" s="273" t="s">
        <v>33</v>
      </c>
      <c r="I257" s="264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74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30)</f>
        <v>30</v>
      </c>
      <c r="K257" s="260">
        <f t="shared" ref="K257:K258" ca="1" si="139">IF(I257&gt;0,J257*100/I257,0)</f>
        <v>42.857142857142854</v>
      </c>
      <c r="L257" s="260"/>
      <c r="M257" s="260"/>
      <c r="N257" s="260"/>
      <c r="O257" s="260"/>
      <c r="P257" s="744"/>
      <c r="Q257" s="253"/>
      <c r="R257" s="253"/>
      <c r="S257" s="253"/>
      <c r="T257" s="253"/>
      <c r="U257" s="253"/>
      <c r="V257" s="253"/>
      <c r="W257" s="253"/>
      <c r="X257" s="253"/>
      <c r="Y257" s="253"/>
      <c r="Z257" s="253"/>
    </row>
    <row r="258" spans="1:26" ht="20.25" hidden="1" customHeight="1">
      <c r="A258" s="746"/>
      <c r="B258" s="266"/>
      <c r="C258" s="266"/>
      <c r="D258" s="266"/>
      <c r="E258" s="277" t="s">
        <v>117</v>
      </c>
      <c r="F258" s="276"/>
      <c r="G258" s="272"/>
      <c r="H258" s="273" t="s">
        <v>64</v>
      </c>
      <c r="I258" s="264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74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260">
        <f t="shared" ca="1" si="139"/>
        <v>100</v>
      </c>
      <c r="L258" s="260"/>
      <c r="M258" s="260"/>
      <c r="N258" s="260"/>
      <c r="O258" s="260"/>
      <c r="P258" s="744"/>
      <c r="Q258" s="253"/>
      <c r="R258" s="253"/>
      <c r="S258" s="253"/>
      <c r="T258" s="253"/>
      <c r="U258" s="253"/>
      <c r="V258" s="253"/>
      <c r="W258" s="253"/>
      <c r="X258" s="253"/>
      <c r="Y258" s="253"/>
      <c r="Z258" s="253"/>
    </row>
    <row r="259" spans="1:26" ht="20.25" customHeight="1">
      <c r="A259" s="731" t="s">
        <v>120</v>
      </c>
      <c r="B259" s="193"/>
      <c r="C259" s="193"/>
      <c r="D259" s="194"/>
      <c r="E259" s="194"/>
      <c r="F259" s="194"/>
      <c r="G259" s="195"/>
      <c r="H259" s="196"/>
      <c r="I259" s="197"/>
      <c r="J259" s="197"/>
      <c r="K259" s="198"/>
      <c r="L259" s="198"/>
      <c r="M259" s="198"/>
      <c r="N259" s="198"/>
      <c r="O259" s="198"/>
      <c r="P259" s="732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733"/>
      <c r="B260" s="199" t="s">
        <v>121</v>
      </c>
      <c r="C260" s="200"/>
      <c r="D260" s="122"/>
      <c r="E260" s="122"/>
      <c r="F260" s="122"/>
      <c r="G260" s="123"/>
      <c r="H260" s="201" t="s">
        <v>33</v>
      </c>
      <c r="I260" s="202">
        <f t="shared" ref="I260:J260" ca="1" si="140">I271</f>
        <v>1584</v>
      </c>
      <c r="J260" s="202">
        <f t="shared" ca="1" si="140"/>
        <v>1340</v>
      </c>
      <c r="K260" s="203">
        <f ca="1">IF(I260&gt;0,J260*100/I260,0)</f>
        <v>84.595959595959599</v>
      </c>
      <c r="L260" s="204"/>
      <c r="M260" s="204"/>
      <c r="N260" s="204"/>
      <c r="O260" s="204"/>
      <c r="P260" s="73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713"/>
      <c r="B261" s="103"/>
      <c r="C261" s="856" t="s">
        <v>14</v>
      </c>
      <c r="D261" s="105" t="s">
        <v>15</v>
      </c>
      <c r="E261" s="103"/>
      <c r="F261" s="103"/>
      <c r="G261" s="106"/>
      <c r="H261" s="107" t="s">
        <v>12</v>
      </c>
      <c r="I261" s="108"/>
      <c r="J261" s="108"/>
      <c r="K261" s="109"/>
      <c r="L261" s="110">
        <f t="shared" ref="L261:N261" ca="1" si="141">L262+L263</f>
        <v>4016300</v>
      </c>
      <c r="M261" s="110">
        <f t="shared" ca="1" si="141"/>
        <v>4016300</v>
      </c>
      <c r="N261" s="110">
        <f t="shared" ca="1" si="141"/>
        <v>2830013.4099999899</v>
      </c>
      <c r="O261" s="110">
        <f t="shared" ref="O261:O269" ca="1" si="142">IF(L261&gt;0,N261*100/L261,0)</f>
        <v>70.463197719293632</v>
      </c>
      <c r="P261" s="714">
        <f t="shared" ref="P261:P269" ca="1" si="143">IF(M261&gt;0,N261*100/M261,0)</f>
        <v>70.463197719293632</v>
      </c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0.25" customHeight="1">
      <c r="A262" s="715"/>
      <c r="B262" s="24"/>
      <c r="C262" s="24"/>
      <c r="D262" s="24"/>
      <c r="E262" s="226" t="s">
        <v>16</v>
      </c>
      <c r="F262" s="24"/>
      <c r="G262" s="111"/>
      <c r="H262" s="112" t="s">
        <v>12</v>
      </c>
      <c r="I262" s="216"/>
      <c r="J262" s="216"/>
      <c r="K262" s="63"/>
      <c r="L262" s="63">
        <f t="shared" ref="L262:N262" ca="1" si="144">L265+L268</f>
        <v>506500</v>
      </c>
      <c r="M262" s="63">
        <f t="shared" ca="1" si="144"/>
        <v>506500</v>
      </c>
      <c r="N262" s="63">
        <f t="shared" ca="1" si="144"/>
        <v>325830</v>
      </c>
      <c r="O262" s="63">
        <f t="shared" ca="1" si="142"/>
        <v>64.329713721618958</v>
      </c>
      <c r="P262" s="684">
        <f t="shared" ca="1" si="143"/>
        <v>64.329713721618958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0.25" customHeight="1">
      <c r="A263" s="715"/>
      <c r="B263" s="24"/>
      <c r="C263" s="24"/>
      <c r="D263" s="24"/>
      <c r="E263" s="226" t="s">
        <v>17</v>
      </c>
      <c r="F263" s="24"/>
      <c r="G263" s="111"/>
      <c r="H263" s="112" t="s">
        <v>12</v>
      </c>
      <c r="I263" s="216"/>
      <c r="J263" s="216"/>
      <c r="K263" s="63"/>
      <c r="L263" s="63">
        <f t="shared" ref="L263:N263" ca="1" si="145">L266+L269</f>
        <v>3509800</v>
      </c>
      <c r="M263" s="63">
        <f t="shared" ca="1" si="145"/>
        <v>3509800</v>
      </c>
      <c r="N263" s="63">
        <f t="shared" ca="1" si="145"/>
        <v>2504183.4099999899</v>
      </c>
      <c r="O263" s="63">
        <f t="shared" ca="1" si="142"/>
        <v>71.348322126616608</v>
      </c>
      <c r="P263" s="684">
        <f t="shared" ca="1" si="143"/>
        <v>71.348322126616608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0.25" customHeight="1">
      <c r="A264" s="716"/>
      <c r="B264" s="19"/>
      <c r="C264" s="113"/>
      <c r="D264" s="20" t="s">
        <v>18</v>
      </c>
      <c r="E264" s="19"/>
      <c r="F264" s="19"/>
      <c r="G264" s="21"/>
      <c r="H264" s="114" t="s">
        <v>12</v>
      </c>
      <c r="I264" s="115"/>
      <c r="J264" s="115"/>
      <c r="K264" s="116"/>
      <c r="L264" s="23">
        <f t="shared" ref="L264:N264" ca="1" si="146">L265+L266</f>
        <v>4016300</v>
      </c>
      <c r="M264" s="23">
        <f t="shared" ca="1" si="146"/>
        <v>4016300</v>
      </c>
      <c r="N264" s="23">
        <f t="shared" ca="1" si="146"/>
        <v>2830013.4099999899</v>
      </c>
      <c r="O264" s="23">
        <f t="shared" ca="1" si="142"/>
        <v>70.463197719293632</v>
      </c>
      <c r="P264" s="682">
        <f t="shared" ca="1" si="143"/>
        <v>70.463197719293632</v>
      </c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0.25" customHeight="1">
      <c r="A265" s="715"/>
      <c r="B265" s="24"/>
      <c r="C265" s="113"/>
      <c r="D265" s="24"/>
      <c r="E265" s="226" t="s">
        <v>34</v>
      </c>
      <c r="F265" s="24"/>
      <c r="G265" s="111"/>
      <c r="H265" s="623" t="s">
        <v>12</v>
      </c>
      <c r="I265" s="128"/>
      <c r="J265" s="128"/>
      <c r="K265" s="117"/>
      <c r="L265" s="63">
        <f ca="1">IFERROR(__xludf.DUMMYFUNCTION("IMPORTRANGE(""https://docs.google.com/spreadsheets/d/1MeEWN-I1oV_STSDYn1IFDPWt_1FKiwhDph83XaGc0o0/edit?usp=sharing"",""งบพรบ!CY9"")"),506500)</f>
        <v>506500</v>
      </c>
      <c r="M265" s="63">
        <f ca="1">IFERROR(__xludf.DUMMYFUNCTION("IMPORTRANGE(""https://docs.google.com/spreadsheets/d/1MeEWN-I1oV_STSDYn1IFDPWt_1FKiwhDph83XaGc0o0/edit?usp=sharing"",""งบพรบ!DD9"")"),506500)</f>
        <v>506500</v>
      </c>
      <c r="N265" s="63">
        <f ca="1">IFERROR(__xludf.DUMMYFUNCTION("IMPORTRANGE(""https://docs.google.com/spreadsheets/d/1MeEWN-I1oV_STSDYn1IFDPWt_1FKiwhDph83XaGc0o0/edit?usp=sharing"",""งบพรบ!DF9"")"),325830)</f>
        <v>325830</v>
      </c>
      <c r="O265" s="63">
        <f t="shared" ca="1" si="142"/>
        <v>64.329713721618958</v>
      </c>
      <c r="P265" s="684">
        <f t="shared" ca="1" si="143"/>
        <v>64.329713721618958</v>
      </c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0.25" customHeight="1">
      <c r="A266" s="715"/>
      <c r="B266" s="24"/>
      <c r="C266" s="113"/>
      <c r="D266" s="24"/>
      <c r="E266" s="226" t="s">
        <v>35</v>
      </c>
      <c r="F266" s="24"/>
      <c r="G266" s="111"/>
      <c r="H266" s="623" t="s">
        <v>12</v>
      </c>
      <c r="I266" s="128"/>
      <c r="J266" s="128"/>
      <c r="K266" s="117"/>
      <c r="L266" s="63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63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3509800)</f>
        <v>3509800</v>
      </c>
      <c r="N266" s="63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2504183.40999999)</f>
        <v>2504183.4099999899</v>
      </c>
      <c r="O266" s="63">
        <f t="shared" ca="1" si="142"/>
        <v>71.348322126616608</v>
      </c>
      <c r="P266" s="684">
        <f t="shared" ca="1" si="143"/>
        <v>71.348322126616608</v>
      </c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0.25" customHeight="1">
      <c r="A267" s="716"/>
      <c r="B267" s="19"/>
      <c r="C267" s="113"/>
      <c r="D267" s="20" t="s">
        <v>19</v>
      </c>
      <c r="E267" s="19"/>
      <c r="F267" s="19"/>
      <c r="G267" s="21"/>
      <c r="H267" s="118" t="s">
        <v>12</v>
      </c>
      <c r="I267" s="115"/>
      <c r="J267" s="115"/>
      <c r="K267" s="116"/>
      <c r="L267" s="23">
        <f t="shared" ref="L267:N267" ca="1" si="147">L268+L269</f>
        <v>0</v>
      </c>
      <c r="M267" s="23">
        <f t="shared" ca="1" si="147"/>
        <v>0</v>
      </c>
      <c r="N267" s="23">
        <f t="shared" ca="1" si="147"/>
        <v>0</v>
      </c>
      <c r="O267" s="23">
        <f t="shared" ca="1" si="142"/>
        <v>0</v>
      </c>
      <c r="P267" s="682">
        <f t="shared" ca="1" si="143"/>
        <v>0</v>
      </c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0.25" customHeight="1">
      <c r="A268" s="715"/>
      <c r="B268" s="24"/>
      <c r="C268" s="113"/>
      <c r="D268" s="24"/>
      <c r="E268" s="226" t="s">
        <v>16</v>
      </c>
      <c r="F268" s="24"/>
      <c r="G268" s="111"/>
      <c r="H268" s="623" t="s">
        <v>12</v>
      </c>
      <c r="I268" s="128"/>
      <c r="J268" s="128"/>
      <c r="K268" s="117"/>
      <c r="L268" s="63">
        <f ca="1">IFERROR(__xludf.DUMMYFUNCTION("IMPORTRANGE(""https://docs.google.com/spreadsheets/d/1MeEWN-I1oV_STSDYn1IFDPWt_1FKiwhDph83XaGc0o0/edit?usp=sharing"",""งบพรบ!DB9"")"),0)</f>
        <v>0</v>
      </c>
      <c r="M268" s="63">
        <f ca="1">IFERROR(__xludf.DUMMYFUNCTION("IMPORTRANGE(""https://docs.google.com/spreadsheets/d/1MeEWN-I1oV_STSDYn1IFDPWt_1FKiwhDph83XaGc0o0/edit?usp=sharing"",""งบพรบ!DE9"")"),0)</f>
        <v>0</v>
      </c>
      <c r="N268" s="63">
        <f ca="1">IFERROR(__xludf.DUMMYFUNCTION("IMPORTRANGE(""https://docs.google.com/spreadsheets/d/1MeEWN-I1oV_STSDYn1IFDPWt_1FKiwhDph83XaGc0o0/edit?usp=sharing"",""งบพรบ!DG9"")"),0)</f>
        <v>0</v>
      </c>
      <c r="O268" s="63">
        <f t="shared" ca="1" si="142"/>
        <v>0</v>
      </c>
      <c r="P268" s="684">
        <f t="shared" ca="1" si="143"/>
        <v>0</v>
      </c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0.25" customHeight="1">
      <c r="A269" s="715"/>
      <c r="B269" s="24"/>
      <c r="C269" s="113"/>
      <c r="D269" s="24"/>
      <c r="E269" s="226" t="s">
        <v>17</v>
      </c>
      <c r="F269" s="24"/>
      <c r="G269" s="111"/>
      <c r="H269" s="119" t="s">
        <v>12</v>
      </c>
      <c r="I269" s="128"/>
      <c r="J269" s="128"/>
      <c r="K269" s="117"/>
      <c r="L269" s="63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63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63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63">
        <f t="shared" ca="1" si="142"/>
        <v>0</v>
      </c>
      <c r="P269" s="684">
        <f t="shared" ca="1" si="143"/>
        <v>0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0.25" customHeight="1">
      <c r="A270" s="717"/>
      <c r="B270" s="120"/>
      <c r="C270" s="856" t="s">
        <v>14</v>
      </c>
      <c r="D270" s="121" t="s">
        <v>36</v>
      </c>
      <c r="E270" s="122"/>
      <c r="F270" s="122"/>
      <c r="G270" s="123"/>
      <c r="H270" s="599"/>
      <c r="I270" s="128"/>
      <c r="J270" s="128"/>
      <c r="K270" s="117"/>
      <c r="L270" s="117"/>
      <c r="M270" s="117"/>
      <c r="N270" s="117"/>
      <c r="O270" s="117"/>
      <c r="P270" s="718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717"/>
      <c r="B271" s="120"/>
      <c r="C271" s="120"/>
      <c r="D271" s="279" t="s">
        <v>122</v>
      </c>
      <c r="E271" s="125"/>
      <c r="F271" s="347"/>
      <c r="G271" s="126"/>
      <c r="H271" s="228" t="s">
        <v>33</v>
      </c>
      <c r="I271" s="216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4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1340)</f>
        <v>1340</v>
      </c>
      <c r="K271" s="117">
        <f ca="1">IF(I271&gt;0,J271*100/I271,0)</f>
        <v>84.595959595959599</v>
      </c>
      <c r="L271" s="117"/>
      <c r="M271" s="117"/>
      <c r="N271" s="117"/>
      <c r="O271" s="117"/>
      <c r="P271" s="718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748"/>
      <c r="B272" s="280"/>
      <c r="C272" s="280"/>
      <c r="D272" s="281" t="s">
        <v>123</v>
      </c>
      <c r="E272" s="282"/>
      <c r="F272" s="282"/>
      <c r="G272" s="283"/>
      <c r="H272" s="29" t="s">
        <v>33</v>
      </c>
      <c r="I272" s="284">
        <v>0</v>
      </c>
      <c r="J272" s="284">
        <v>0</v>
      </c>
      <c r="K272" s="285">
        <v>0</v>
      </c>
      <c r="L272" s="285"/>
      <c r="M272" s="285"/>
      <c r="N272" s="285"/>
      <c r="O272" s="285"/>
      <c r="P272" s="749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750" t="s">
        <v>124</v>
      </c>
      <c r="B273" s="286"/>
      <c r="C273" s="286"/>
      <c r="D273" s="286"/>
      <c r="E273" s="287"/>
      <c r="F273" s="287"/>
      <c r="G273" s="288"/>
      <c r="H273" s="289"/>
      <c r="I273" s="290"/>
      <c r="J273" s="290"/>
      <c r="K273" s="291"/>
      <c r="L273" s="291"/>
      <c r="M273" s="291"/>
      <c r="N273" s="291"/>
      <c r="O273" s="291"/>
      <c r="P273" s="751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752" t="s">
        <v>125</v>
      </c>
      <c r="B274" s="292"/>
      <c r="C274" s="293"/>
      <c r="D274" s="292"/>
      <c r="E274" s="292"/>
      <c r="F274" s="292"/>
      <c r="G274" s="292"/>
      <c r="H274" s="294"/>
      <c r="I274" s="295"/>
      <c r="J274" s="296"/>
      <c r="K274" s="297"/>
      <c r="L274" s="297"/>
      <c r="M274" s="297"/>
      <c r="N274" s="297"/>
      <c r="O274" s="297"/>
      <c r="P274" s="753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754"/>
      <c r="B275" s="305" t="s">
        <v>126</v>
      </c>
      <c r="C275" s="298"/>
      <c r="D275" s="299"/>
      <c r="E275" s="298"/>
      <c r="F275" s="298"/>
      <c r="G275" s="300"/>
      <c r="H275" s="301" t="s">
        <v>33</v>
      </c>
      <c r="I275" s="302">
        <f t="shared" ref="I275:J275" ca="1" si="148">I288</f>
        <v>1000</v>
      </c>
      <c r="J275" s="302">
        <f t="shared" ca="1" si="148"/>
        <v>690</v>
      </c>
      <c r="K275" s="303">
        <f t="shared" ref="K275:K276" ca="1" si="149">IF(I275&gt;0,J275*100/I275,0)</f>
        <v>69</v>
      </c>
      <c r="L275" s="304"/>
      <c r="M275" s="304"/>
      <c r="N275" s="304"/>
      <c r="O275" s="304"/>
      <c r="P275" s="755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754"/>
      <c r="B276" s="305"/>
      <c r="C276" s="298"/>
      <c r="D276" s="299"/>
      <c r="E276" s="298"/>
      <c r="F276" s="298"/>
      <c r="G276" s="300"/>
      <c r="H276" s="301" t="s">
        <v>44</v>
      </c>
      <c r="I276" s="302">
        <f t="shared" ref="I276:J276" ca="1" si="150">I287</f>
        <v>10000</v>
      </c>
      <c r="J276" s="302">
        <f t="shared" ca="1" si="150"/>
        <v>8213</v>
      </c>
      <c r="K276" s="303">
        <f t="shared" ca="1" si="149"/>
        <v>82.13</v>
      </c>
      <c r="L276" s="304"/>
      <c r="M276" s="304"/>
      <c r="N276" s="304"/>
      <c r="O276" s="304"/>
      <c r="P276" s="755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713"/>
      <c r="B277" s="103"/>
      <c r="C277" s="856" t="s">
        <v>14</v>
      </c>
      <c r="D277" s="105" t="s">
        <v>15</v>
      </c>
      <c r="E277" s="103"/>
      <c r="F277" s="103"/>
      <c r="G277" s="106"/>
      <c r="H277" s="107" t="s">
        <v>12</v>
      </c>
      <c r="I277" s="108"/>
      <c r="J277" s="108"/>
      <c r="K277" s="109"/>
      <c r="L277" s="110">
        <f t="shared" ref="L277:N277" ca="1" si="151">L278+L279</f>
        <v>7094200</v>
      </c>
      <c r="M277" s="110">
        <f t="shared" ca="1" si="151"/>
        <v>7094200</v>
      </c>
      <c r="N277" s="110">
        <f t="shared" ca="1" si="151"/>
        <v>4986070.43</v>
      </c>
      <c r="O277" s="110">
        <f t="shared" ref="O277:O285" ca="1" si="152">IF(L277&gt;0,N277*100/L277,0)</f>
        <v>70.283758986214096</v>
      </c>
      <c r="P277" s="714">
        <f t="shared" ref="P277:P285" ca="1" si="153">IF(M277&gt;0,N277*100/M277,0)</f>
        <v>70.283758986214096</v>
      </c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0.25" customHeight="1">
      <c r="A278" s="715"/>
      <c r="B278" s="24"/>
      <c r="C278" s="24"/>
      <c r="D278" s="24"/>
      <c r="E278" s="226" t="s">
        <v>16</v>
      </c>
      <c r="F278" s="24"/>
      <c r="G278" s="111"/>
      <c r="H278" s="112" t="s">
        <v>12</v>
      </c>
      <c r="I278" s="216"/>
      <c r="J278" s="216"/>
      <c r="K278" s="63"/>
      <c r="L278" s="63">
        <f t="shared" ref="L278:N278" ca="1" si="154">L281+L284</f>
        <v>415250</v>
      </c>
      <c r="M278" s="63">
        <f t="shared" ca="1" si="154"/>
        <v>415250</v>
      </c>
      <c r="N278" s="63">
        <f t="shared" ca="1" si="154"/>
        <v>174387.37</v>
      </c>
      <c r="O278" s="63">
        <f t="shared" ca="1" si="152"/>
        <v>41.995754364840458</v>
      </c>
      <c r="P278" s="684">
        <f t="shared" ca="1" si="153"/>
        <v>41.995754364840458</v>
      </c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0.25" customHeight="1">
      <c r="A279" s="715"/>
      <c r="B279" s="24"/>
      <c r="C279" s="24"/>
      <c r="D279" s="24"/>
      <c r="E279" s="226" t="s">
        <v>17</v>
      </c>
      <c r="F279" s="24"/>
      <c r="G279" s="111"/>
      <c r="H279" s="112" t="s">
        <v>12</v>
      </c>
      <c r="I279" s="216"/>
      <c r="J279" s="216"/>
      <c r="K279" s="63"/>
      <c r="L279" s="63">
        <f t="shared" ref="L279:N279" ca="1" si="155">L282+L285</f>
        <v>6678950</v>
      </c>
      <c r="M279" s="63">
        <f t="shared" ca="1" si="155"/>
        <v>6678950</v>
      </c>
      <c r="N279" s="63">
        <f t="shared" ca="1" si="155"/>
        <v>4811683.0599999996</v>
      </c>
      <c r="O279" s="63">
        <f t="shared" ca="1" si="152"/>
        <v>72.042507579784242</v>
      </c>
      <c r="P279" s="684">
        <f t="shared" ca="1" si="153"/>
        <v>72.042507579784242</v>
      </c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0.25" customHeight="1">
      <c r="A280" s="716"/>
      <c r="B280" s="19"/>
      <c r="C280" s="113"/>
      <c r="D280" s="20" t="s">
        <v>18</v>
      </c>
      <c r="E280" s="19"/>
      <c r="F280" s="19"/>
      <c r="G280" s="21"/>
      <c r="H280" s="114" t="s">
        <v>12</v>
      </c>
      <c r="I280" s="115"/>
      <c r="J280" s="115"/>
      <c r="K280" s="116"/>
      <c r="L280" s="23">
        <f t="shared" ref="L280:N280" ca="1" si="156">L281+L282</f>
        <v>7094200</v>
      </c>
      <c r="M280" s="23">
        <f t="shared" ca="1" si="156"/>
        <v>7094200</v>
      </c>
      <c r="N280" s="23">
        <f t="shared" ca="1" si="156"/>
        <v>4986070.43</v>
      </c>
      <c r="O280" s="23">
        <f t="shared" ca="1" si="152"/>
        <v>70.283758986214096</v>
      </c>
      <c r="P280" s="682">
        <f t="shared" ca="1" si="153"/>
        <v>70.283758986214096</v>
      </c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0.25" customHeight="1">
      <c r="A281" s="715"/>
      <c r="B281" s="24"/>
      <c r="C281" s="113"/>
      <c r="D281" s="24"/>
      <c r="E281" s="226" t="s">
        <v>34</v>
      </c>
      <c r="F281" s="24"/>
      <c r="G281" s="111"/>
      <c r="H281" s="623" t="s">
        <v>12</v>
      </c>
      <c r="I281" s="128"/>
      <c r="J281" s="128"/>
      <c r="K281" s="117"/>
      <c r="L281" s="63">
        <f ca="1">IFERROR(__xludf.DUMMYFUNCTION("IMPORTRANGE(""https://docs.google.com/spreadsheets/d/1MeEWN-I1oV_STSDYn1IFDPWt_1FKiwhDph83XaGc0o0/edit?usp=sharing"",""งบพรบ!DI9"")"),415250)</f>
        <v>415250</v>
      </c>
      <c r="M281" s="63">
        <f ca="1">IFERROR(__xludf.DUMMYFUNCTION("IMPORTRANGE(""https://docs.google.com/spreadsheets/d/1MeEWN-I1oV_STSDYn1IFDPWt_1FKiwhDph83XaGc0o0/edit?usp=sharing"",""งบพรบ!DN9"")"),415250)</f>
        <v>415250</v>
      </c>
      <c r="N281" s="63">
        <f ca="1">IFERROR(__xludf.DUMMYFUNCTION("IMPORTRANGE(""https://docs.google.com/spreadsheets/d/1MeEWN-I1oV_STSDYn1IFDPWt_1FKiwhDph83XaGc0o0/edit?usp=sharing"",""งบพรบ!DP9"")"),174387.37)</f>
        <v>174387.37</v>
      </c>
      <c r="O281" s="63">
        <f t="shared" ca="1" si="152"/>
        <v>41.995754364840458</v>
      </c>
      <c r="P281" s="684">
        <f t="shared" ca="1" si="153"/>
        <v>41.995754364840458</v>
      </c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0.25" customHeight="1">
      <c r="A282" s="715"/>
      <c r="B282" s="24"/>
      <c r="C282" s="113"/>
      <c r="D282" s="24"/>
      <c r="E282" s="226" t="s">
        <v>35</v>
      </c>
      <c r="F282" s="24"/>
      <c r="G282" s="111"/>
      <c r="H282" s="623" t="s">
        <v>12</v>
      </c>
      <c r="I282" s="128"/>
      <c r="J282" s="128"/>
      <c r="K282" s="117"/>
      <c r="L282" s="63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63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6678950)</f>
        <v>6678950</v>
      </c>
      <c r="N282" s="63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4811683.06)</f>
        <v>4811683.0599999996</v>
      </c>
      <c r="O282" s="63">
        <f t="shared" ca="1" si="152"/>
        <v>72.042507579784242</v>
      </c>
      <c r="P282" s="684">
        <f t="shared" ca="1" si="153"/>
        <v>72.042507579784242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0.25" customHeight="1">
      <c r="A283" s="716"/>
      <c r="B283" s="19"/>
      <c r="C283" s="113"/>
      <c r="D283" s="20" t="s">
        <v>19</v>
      </c>
      <c r="E283" s="19"/>
      <c r="F283" s="19"/>
      <c r="G283" s="21"/>
      <c r="H283" s="118" t="s">
        <v>12</v>
      </c>
      <c r="I283" s="115"/>
      <c r="J283" s="115"/>
      <c r="K283" s="116"/>
      <c r="L283" s="23">
        <f t="shared" ref="L283:N283" ca="1" si="157">L284+L285</f>
        <v>0</v>
      </c>
      <c r="M283" s="23">
        <f t="shared" ca="1" si="157"/>
        <v>0</v>
      </c>
      <c r="N283" s="23">
        <f t="shared" ca="1" si="157"/>
        <v>0</v>
      </c>
      <c r="O283" s="23">
        <f t="shared" ca="1" si="152"/>
        <v>0</v>
      </c>
      <c r="P283" s="682">
        <f t="shared" ca="1" si="153"/>
        <v>0</v>
      </c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0.25" customHeight="1">
      <c r="A284" s="715"/>
      <c r="B284" s="24"/>
      <c r="C284" s="113"/>
      <c r="D284" s="24"/>
      <c r="E284" s="226" t="s">
        <v>16</v>
      </c>
      <c r="F284" s="24"/>
      <c r="G284" s="111"/>
      <c r="H284" s="623" t="s">
        <v>12</v>
      </c>
      <c r="I284" s="128"/>
      <c r="J284" s="128"/>
      <c r="K284" s="117"/>
      <c r="L284" s="63">
        <f ca="1">IFERROR(__xludf.DUMMYFUNCTION("IMPORTRANGE(""https://docs.google.com/spreadsheets/d/1MeEWN-I1oV_STSDYn1IFDPWt_1FKiwhDph83XaGc0o0/edit?usp=sharing"",""งบพรบ!DL9"")"),0)</f>
        <v>0</v>
      </c>
      <c r="M284" s="63">
        <f ca="1">IFERROR(__xludf.DUMMYFUNCTION("IMPORTRANGE(""https://docs.google.com/spreadsheets/d/1MeEWN-I1oV_STSDYn1IFDPWt_1FKiwhDph83XaGc0o0/edit?usp=sharing"",""งบพรบ!DO9"")"),0)</f>
        <v>0</v>
      </c>
      <c r="N284" s="63">
        <f ca="1">IFERROR(__xludf.DUMMYFUNCTION("IMPORTRANGE(""https://docs.google.com/spreadsheets/d/1MeEWN-I1oV_STSDYn1IFDPWt_1FKiwhDph83XaGc0o0/edit?usp=sharing"",""งบพรบ!DQ9"")"),0)</f>
        <v>0</v>
      </c>
      <c r="O284" s="63">
        <f t="shared" ca="1" si="152"/>
        <v>0</v>
      </c>
      <c r="P284" s="684">
        <f t="shared" ca="1" si="153"/>
        <v>0</v>
      </c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0.25" customHeight="1">
      <c r="A285" s="715"/>
      <c r="B285" s="24"/>
      <c r="C285" s="113"/>
      <c r="D285" s="24"/>
      <c r="E285" s="226" t="s">
        <v>17</v>
      </c>
      <c r="F285" s="24"/>
      <c r="G285" s="111"/>
      <c r="H285" s="119" t="s">
        <v>12</v>
      </c>
      <c r="I285" s="128"/>
      <c r="J285" s="128"/>
      <c r="K285" s="117"/>
      <c r="L285" s="63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63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63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63">
        <f t="shared" ca="1" si="152"/>
        <v>0</v>
      </c>
      <c r="P285" s="684">
        <f t="shared" ca="1" si="153"/>
        <v>0</v>
      </c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0.25" customHeight="1">
      <c r="A286" s="723"/>
      <c r="B286" s="143"/>
      <c r="C286" s="860" t="s">
        <v>14</v>
      </c>
      <c r="D286" s="144" t="s">
        <v>36</v>
      </c>
      <c r="E286" s="145"/>
      <c r="F286" s="145"/>
      <c r="G286" s="146"/>
      <c r="H286" s="147"/>
      <c r="I286" s="313"/>
      <c r="J286" s="313"/>
      <c r="K286" s="148"/>
      <c r="L286" s="148"/>
      <c r="M286" s="148"/>
      <c r="N286" s="148"/>
      <c r="O286" s="148"/>
      <c r="P286" s="724"/>
    </row>
    <row r="287" spans="1:26" ht="20.25" customHeight="1">
      <c r="A287" s="723"/>
      <c r="B287" s="143"/>
      <c r="C287" s="143"/>
      <c r="D287" s="519" t="s">
        <v>127</v>
      </c>
      <c r="E287" s="143"/>
      <c r="F287" s="150"/>
      <c r="G287" s="151"/>
      <c r="H287" s="306" t="s">
        <v>44</v>
      </c>
      <c r="I287" s="307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635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8213)</f>
        <v>8213</v>
      </c>
      <c r="K287" s="148">
        <f t="shared" ref="K287:K288" ca="1" si="158">IF(I287&gt;0,J287*100/I287,0)</f>
        <v>82.13</v>
      </c>
      <c r="L287" s="148"/>
      <c r="M287" s="148"/>
      <c r="N287" s="148"/>
      <c r="O287" s="148"/>
      <c r="P287" s="724"/>
    </row>
    <row r="288" spans="1:26" ht="20.25" customHeight="1">
      <c r="A288" s="723"/>
      <c r="B288" s="143"/>
      <c r="C288" s="143"/>
      <c r="D288" s="519" t="s">
        <v>128</v>
      </c>
      <c r="E288" s="143"/>
      <c r="F288" s="150"/>
      <c r="G288" s="151"/>
      <c r="H288" s="308" t="s">
        <v>33</v>
      </c>
      <c r="I288" s="158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58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690)</f>
        <v>690</v>
      </c>
      <c r="K288" s="309">
        <f t="shared" ca="1" si="158"/>
        <v>69</v>
      </c>
      <c r="L288" s="148"/>
      <c r="M288" s="148"/>
      <c r="N288" s="148"/>
      <c r="O288" s="148"/>
      <c r="P288" s="724"/>
    </row>
    <row r="289" spans="1:26" ht="20.25" customHeight="1">
      <c r="A289" s="723"/>
      <c r="B289" s="143"/>
      <c r="C289" s="143"/>
      <c r="D289" s="310"/>
      <c r="E289" s="311" t="s">
        <v>129</v>
      </c>
      <c r="F289" s="150"/>
      <c r="G289" s="151"/>
      <c r="H289" s="312"/>
      <c r="I289" s="313"/>
      <c r="J289" s="307"/>
      <c r="K289" s="148"/>
      <c r="L289" s="148"/>
      <c r="M289" s="148"/>
      <c r="N289" s="148"/>
      <c r="O289" s="148"/>
      <c r="P289" s="724"/>
    </row>
    <row r="290" spans="1:26" ht="20.25" customHeight="1">
      <c r="A290" s="723"/>
      <c r="B290" s="143"/>
      <c r="C290" s="143"/>
      <c r="D290" s="310"/>
      <c r="E290" s="519" t="s">
        <v>130</v>
      </c>
      <c r="F290" s="150"/>
      <c r="G290" s="151"/>
      <c r="H290" s="312" t="s">
        <v>33</v>
      </c>
      <c r="I290" s="313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635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48">
        <f t="shared" ref="K290:K291" ca="1" si="159">IF(I290&gt;0,J290*100/I290,0)</f>
        <v>99</v>
      </c>
      <c r="L290" s="148"/>
      <c r="M290" s="148"/>
      <c r="N290" s="148"/>
      <c r="O290" s="148"/>
      <c r="P290" s="724"/>
    </row>
    <row r="291" spans="1:26" ht="20.25" customHeight="1">
      <c r="A291" s="723"/>
      <c r="B291" s="143"/>
      <c r="C291" s="143"/>
      <c r="D291" s="150"/>
      <c r="E291" s="519" t="s">
        <v>131</v>
      </c>
      <c r="F291" s="150"/>
      <c r="G291" s="151"/>
      <c r="H291" s="312" t="s">
        <v>33</v>
      </c>
      <c r="I291" s="313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635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48">
        <f t="shared" ca="1" si="159"/>
        <v>99</v>
      </c>
      <c r="L291" s="148"/>
      <c r="M291" s="148"/>
      <c r="N291" s="148"/>
      <c r="O291" s="148"/>
      <c r="P291" s="724"/>
    </row>
    <row r="292" spans="1:26" ht="20.25" customHeight="1">
      <c r="A292" s="756"/>
      <c r="B292" s="314"/>
      <c r="C292" s="314"/>
      <c r="D292" s="315"/>
      <c r="E292" s="316" t="s">
        <v>132</v>
      </c>
      <c r="F292" s="230"/>
      <c r="G292" s="231"/>
      <c r="H292" s="317"/>
      <c r="I292" s="318"/>
      <c r="J292" s="429"/>
      <c r="K292" s="319"/>
      <c r="L292" s="319"/>
      <c r="M292" s="319"/>
      <c r="N292" s="319"/>
      <c r="O292" s="319"/>
      <c r="P292" s="757"/>
    </row>
    <row r="293" spans="1:26" ht="20.25" customHeight="1">
      <c r="A293" s="723"/>
      <c r="B293" s="143"/>
      <c r="C293" s="143"/>
      <c r="D293" s="310"/>
      <c r="E293" s="519" t="s">
        <v>133</v>
      </c>
      <c r="F293" s="150"/>
      <c r="G293" s="151"/>
      <c r="H293" s="312" t="s">
        <v>33</v>
      </c>
      <c r="I293" s="313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635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700)</f>
        <v>700</v>
      </c>
      <c r="K293" s="148">
        <f t="shared" ref="K293:K294" ca="1" si="160">IF(I293&gt;0,J293*100/I293,0)</f>
        <v>70</v>
      </c>
      <c r="L293" s="148"/>
      <c r="M293" s="148"/>
      <c r="N293" s="148"/>
      <c r="O293" s="148"/>
      <c r="P293" s="724"/>
    </row>
    <row r="294" spans="1:26" ht="20.25" customHeight="1">
      <c r="A294" s="758"/>
      <c r="B294" s="320"/>
      <c r="C294" s="320"/>
      <c r="D294" s="321"/>
      <c r="E294" s="322" t="s">
        <v>134</v>
      </c>
      <c r="F294" s="321"/>
      <c r="G294" s="323"/>
      <c r="H294" s="324" t="s">
        <v>33</v>
      </c>
      <c r="I294" s="325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26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700)</f>
        <v>700</v>
      </c>
      <c r="K294" s="327">
        <f t="shared" ca="1" si="160"/>
        <v>70</v>
      </c>
      <c r="L294" s="327"/>
      <c r="M294" s="327"/>
      <c r="N294" s="327"/>
      <c r="O294" s="327"/>
      <c r="P294" s="759"/>
    </row>
    <row r="295" spans="1:26" ht="20.25" customHeight="1">
      <c r="A295" s="760" t="s">
        <v>135</v>
      </c>
      <c r="B295" s="328"/>
      <c r="C295" s="328"/>
      <c r="D295" s="328"/>
      <c r="E295" s="329"/>
      <c r="F295" s="329"/>
      <c r="G295" s="330"/>
      <c r="H295" s="331"/>
      <c r="I295" s="332"/>
      <c r="J295" s="332"/>
      <c r="K295" s="333"/>
      <c r="L295" s="333"/>
      <c r="M295" s="333"/>
      <c r="N295" s="333"/>
      <c r="O295" s="333"/>
      <c r="P295" s="761"/>
    </row>
    <row r="296" spans="1:26" ht="20.25" customHeight="1">
      <c r="A296" s="762" t="s">
        <v>136</v>
      </c>
      <c r="B296" s="334"/>
      <c r="C296" s="334"/>
      <c r="D296" s="335"/>
      <c r="E296" s="335"/>
      <c r="F296" s="335"/>
      <c r="G296" s="336"/>
      <c r="H296" s="337"/>
      <c r="I296" s="338"/>
      <c r="J296" s="338"/>
      <c r="K296" s="339"/>
      <c r="L296" s="339"/>
      <c r="M296" s="339"/>
      <c r="N296" s="339"/>
      <c r="O296" s="339"/>
      <c r="P296" s="763"/>
    </row>
    <row r="297" spans="1:26" ht="20.25" customHeight="1">
      <c r="A297" s="764"/>
      <c r="B297" s="340" t="s">
        <v>137</v>
      </c>
      <c r="C297" s="341"/>
      <c r="D297" s="341"/>
      <c r="E297" s="341"/>
      <c r="F297" s="341"/>
      <c r="G297" s="342"/>
      <c r="H297" s="343" t="s">
        <v>33</v>
      </c>
      <c r="I297" s="344">
        <f t="shared" ref="I297:J297" ca="1" si="161">I309</f>
        <v>800</v>
      </c>
      <c r="J297" s="344">
        <f t="shared" ca="1" si="161"/>
        <v>800</v>
      </c>
      <c r="K297" s="345">
        <f ca="1">IF(I297&gt;0,J297*100/I297,0)</f>
        <v>100</v>
      </c>
      <c r="L297" s="346"/>
      <c r="M297" s="346"/>
      <c r="N297" s="346"/>
      <c r="O297" s="346"/>
      <c r="P297" s="765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713"/>
      <c r="B298" s="103"/>
      <c r="C298" s="860" t="s">
        <v>14</v>
      </c>
      <c r="D298" s="105" t="s">
        <v>15</v>
      </c>
      <c r="E298" s="103"/>
      <c r="F298" s="103"/>
      <c r="G298" s="106"/>
      <c r="H298" s="107" t="s">
        <v>12</v>
      </c>
      <c r="I298" s="108"/>
      <c r="J298" s="108"/>
      <c r="K298" s="109"/>
      <c r="L298" s="110">
        <f t="shared" ref="L298:N298" ca="1" si="162">L299+L300</f>
        <v>8336100</v>
      </c>
      <c r="M298" s="110">
        <f t="shared" ca="1" si="162"/>
        <v>8214100</v>
      </c>
      <c r="N298" s="110">
        <f t="shared" ca="1" si="162"/>
        <v>5631796.5</v>
      </c>
      <c r="O298" s="110">
        <f t="shared" ref="O298:O306" ca="1" si="163">IF(L298&gt;0,N298*100/L298,0)</f>
        <v>67.559128369381369</v>
      </c>
      <c r="P298" s="714">
        <f t="shared" ref="P298:P306" ca="1" si="164">IF(M298&gt;0,N298*100/M298,0)</f>
        <v>68.562550979413444</v>
      </c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0.25" customHeight="1">
      <c r="A299" s="715"/>
      <c r="B299" s="24"/>
      <c r="C299" s="24"/>
      <c r="D299" s="24"/>
      <c r="E299" s="226" t="s">
        <v>16</v>
      </c>
      <c r="F299" s="24"/>
      <c r="G299" s="111"/>
      <c r="H299" s="112" t="s">
        <v>12</v>
      </c>
      <c r="I299" s="216"/>
      <c r="J299" s="216"/>
      <c r="K299" s="63"/>
      <c r="L299" s="63">
        <f t="shared" ref="L299:N299" ca="1" si="165">L302+L305</f>
        <v>1894100</v>
      </c>
      <c r="M299" s="63">
        <f t="shared" ca="1" si="165"/>
        <v>1772100</v>
      </c>
      <c r="N299" s="63">
        <f t="shared" ca="1" si="165"/>
        <v>544566.46</v>
      </c>
      <c r="O299" s="63">
        <f t="shared" ca="1" si="163"/>
        <v>28.750671031096562</v>
      </c>
      <c r="P299" s="684">
        <f t="shared" ca="1" si="164"/>
        <v>30.730007335929123</v>
      </c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0.25" customHeight="1">
      <c r="A300" s="715"/>
      <c r="B300" s="24"/>
      <c r="C300" s="24"/>
      <c r="D300" s="24"/>
      <c r="E300" s="226" t="s">
        <v>17</v>
      </c>
      <c r="F300" s="24"/>
      <c r="G300" s="111"/>
      <c r="H300" s="112" t="s">
        <v>12</v>
      </c>
      <c r="I300" s="216"/>
      <c r="J300" s="216"/>
      <c r="K300" s="63"/>
      <c r="L300" s="63">
        <f t="shared" ref="L300:N300" ca="1" si="166">L303+L306</f>
        <v>6442000</v>
      </c>
      <c r="M300" s="63">
        <f t="shared" ca="1" si="166"/>
        <v>6442000</v>
      </c>
      <c r="N300" s="63">
        <f t="shared" ca="1" si="166"/>
        <v>5087230.04</v>
      </c>
      <c r="O300" s="63">
        <f t="shared" ca="1" si="163"/>
        <v>78.969730518472531</v>
      </c>
      <c r="P300" s="684">
        <f t="shared" ca="1" si="164"/>
        <v>78.969730518472531</v>
      </c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0.25" customHeight="1">
      <c r="A301" s="716"/>
      <c r="B301" s="19"/>
      <c r="C301" s="113"/>
      <c r="D301" s="20" t="s">
        <v>18</v>
      </c>
      <c r="E301" s="19"/>
      <c r="F301" s="19"/>
      <c r="G301" s="21"/>
      <c r="H301" s="114" t="s">
        <v>12</v>
      </c>
      <c r="I301" s="115"/>
      <c r="J301" s="115"/>
      <c r="K301" s="116"/>
      <c r="L301" s="23">
        <f t="shared" ref="L301:N301" ca="1" si="167">L302+L303</f>
        <v>8336100</v>
      </c>
      <c r="M301" s="23">
        <f t="shared" ca="1" si="167"/>
        <v>8214100</v>
      </c>
      <c r="N301" s="23">
        <f t="shared" ca="1" si="167"/>
        <v>5631796.5</v>
      </c>
      <c r="O301" s="23">
        <f t="shared" ca="1" si="163"/>
        <v>67.559128369381369</v>
      </c>
      <c r="P301" s="682">
        <f t="shared" ca="1" si="164"/>
        <v>68.562550979413444</v>
      </c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0.25" customHeight="1">
      <c r="A302" s="715"/>
      <c r="B302" s="24"/>
      <c r="C302" s="113"/>
      <c r="D302" s="24"/>
      <c r="E302" s="226" t="s">
        <v>34</v>
      </c>
      <c r="F302" s="24"/>
      <c r="G302" s="111"/>
      <c r="H302" s="623" t="s">
        <v>12</v>
      </c>
      <c r="I302" s="128"/>
      <c r="J302" s="128"/>
      <c r="K302" s="117"/>
      <c r="L302" s="63">
        <f ca="1">IFERROR(__xludf.DUMMYFUNCTION("IMPORTRANGE(""https://docs.google.com/spreadsheets/d/1MeEWN-I1oV_STSDYn1IFDPWt_1FKiwhDph83XaGc0o0/edit?usp=sharing"",""งบพรบ!DS9"")"),1894100)</f>
        <v>1894100</v>
      </c>
      <c r="M302" s="63">
        <f ca="1">IFERROR(__xludf.DUMMYFUNCTION("IMPORTRANGE(""https://docs.google.com/spreadsheets/d/1MeEWN-I1oV_STSDYn1IFDPWt_1FKiwhDph83XaGc0o0/edit?usp=sharing"",""งบพรบ!DX9"")"),1772100)</f>
        <v>1772100</v>
      </c>
      <c r="N302" s="63">
        <f ca="1">IFERROR(__xludf.DUMMYFUNCTION("IMPORTRANGE(""https://docs.google.com/spreadsheets/d/1MeEWN-I1oV_STSDYn1IFDPWt_1FKiwhDph83XaGc0o0/edit?usp=sharing"",""งบพรบ!DZ9"")"),544566.46)</f>
        <v>544566.46</v>
      </c>
      <c r="O302" s="63">
        <f t="shared" ca="1" si="163"/>
        <v>28.750671031096562</v>
      </c>
      <c r="P302" s="684">
        <f t="shared" ca="1" si="164"/>
        <v>30.730007335929123</v>
      </c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0.25" customHeight="1">
      <c r="A303" s="715"/>
      <c r="B303" s="24"/>
      <c r="C303" s="113"/>
      <c r="D303" s="24"/>
      <c r="E303" s="226" t="s">
        <v>35</v>
      </c>
      <c r="F303" s="24"/>
      <c r="G303" s="111"/>
      <c r="H303" s="623" t="s">
        <v>12</v>
      </c>
      <c r="I303" s="128"/>
      <c r="J303" s="128"/>
      <c r="K303" s="117"/>
      <c r="L303" s="63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63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6442000)</f>
        <v>6442000</v>
      </c>
      <c r="N303" s="63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5087230.04)</f>
        <v>5087230.04</v>
      </c>
      <c r="O303" s="63">
        <f t="shared" ca="1" si="163"/>
        <v>78.969730518472531</v>
      </c>
      <c r="P303" s="684">
        <f t="shared" ca="1" si="164"/>
        <v>78.969730518472531</v>
      </c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0.25" customHeight="1">
      <c r="A304" s="716"/>
      <c r="B304" s="19"/>
      <c r="C304" s="113"/>
      <c r="D304" s="20" t="s">
        <v>19</v>
      </c>
      <c r="E304" s="19"/>
      <c r="F304" s="19"/>
      <c r="G304" s="21"/>
      <c r="H304" s="118" t="s">
        <v>12</v>
      </c>
      <c r="I304" s="115"/>
      <c r="J304" s="115"/>
      <c r="K304" s="116"/>
      <c r="L304" s="23">
        <f t="shared" ref="L304:N304" ca="1" si="168">L305+L306</f>
        <v>0</v>
      </c>
      <c r="M304" s="23">
        <f t="shared" ca="1" si="168"/>
        <v>0</v>
      </c>
      <c r="N304" s="23">
        <f t="shared" ca="1" si="168"/>
        <v>0</v>
      </c>
      <c r="O304" s="23">
        <f t="shared" ca="1" si="163"/>
        <v>0</v>
      </c>
      <c r="P304" s="682">
        <f t="shared" ca="1" si="164"/>
        <v>0</v>
      </c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0.25" customHeight="1">
      <c r="A305" s="715"/>
      <c r="B305" s="24"/>
      <c r="C305" s="113"/>
      <c r="D305" s="24"/>
      <c r="E305" s="226" t="s">
        <v>16</v>
      </c>
      <c r="F305" s="24"/>
      <c r="G305" s="111"/>
      <c r="H305" s="623" t="s">
        <v>12</v>
      </c>
      <c r="I305" s="128"/>
      <c r="J305" s="128"/>
      <c r="K305" s="117"/>
      <c r="L305" s="63">
        <f ca="1">IFERROR(__xludf.DUMMYFUNCTION("IMPORTRANGE(""https://docs.google.com/spreadsheets/d/1MeEWN-I1oV_STSDYn1IFDPWt_1FKiwhDph83XaGc0o0/edit?usp=sharing"",""งบพรบ!DV9"")"),0)</f>
        <v>0</v>
      </c>
      <c r="M305" s="63">
        <f ca="1">IFERROR(__xludf.DUMMYFUNCTION("IMPORTRANGE(""https://docs.google.com/spreadsheets/d/1MeEWN-I1oV_STSDYn1IFDPWt_1FKiwhDph83XaGc0o0/edit?usp=sharing"",""งบพรบ!DY9"")"),0)</f>
        <v>0</v>
      </c>
      <c r="N305" s="63">
        <f ca="1">IFERROR(__xludf.DUMMYFUNCTION("IMPORTRANGE(""https://docs.google.com/spreadsheets/d/1MeEWN-I1oV_STSDYn1IFDPWt_1FKiwhDph83XaGc0o0/edit?usp=sharing"",""งบพรบ!EA9"")"),0)</f>
        <v>0</v>
      </c>
      <c r="O305" s="63">
        <f t="shared" ca="1" si="163"/>
        <v>0</v>
      </c>
      <c r="P305" s="684">
        <f t="shared" ca="1" si="164"/>
        <v>0</v>
      </c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0.25" customHeight="1">
      <c r="A306" s="715"/>
      <c r="B306" s="24"/>
      <c r="C306" s="113"/>
      <c r="D306" s="24"/>
      <c r="E306" s="226" t="s">
        <v>17</v>
      </c>
      <c r="F306" s="24"/>
      <c r="G306" s="111"/>
      <c r="H306" s="119" t="s">
        <v>12</v>
      </c>
      <c r="I306" s="128"/>
      <c r="J306" s="128"/>
      <c r="K306" s="117"/>
      <c r="L306" s="63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63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63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63">
        <f t="shared" ca="1" si="163"/>
        <v>0</v>
      </c>
      <c r="P306" s="684">
        <f t="shared" ca="1" si="164"/>
        <v>0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0.25" customHeight="1">
      <c r="A307" s="717"/>
      <c r="B307" s="120"/>
      <c r="C307" s="860" t="s">
        <v>14</v>
      </c>
      <c r="D307" s="121" t="s">
        <v>36</v>
      </c>
      <c r="E307" s="122"/>
      <c r="F307" s="122"/>
      <c r="G307" s="123"/>
      <c r="H307" s="599"/>
      <c r="I307" s="216"/>
      <c r="J307" s="216"/>
      <c r="K307" s="63"/>
      <c r="L307" s="63"/>
      <c r="M307" s="63"/>
      <c r="N307" s="63"/>
      <c r="O307" s="63"/>
      <c r="P307" s="68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717"/>
      <c r="B308" s="120"/>
      <c r="C308" s="120"/>
      <c r="D308" s="347" t="s">
        <v>138</v>
      </c>
      <c r="E308" s="347"/>
      <c r="F308" s="347"/>
      <c r="G308" s="126"/>
      <c r="H308" s="601"/>
      <c r="I308" s="216"/>
      <c r="J308" s="174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63"/>
      <c r="L308" s="63"/>
      <c r="M308" s="63"/>
      <c r="N308" s="63"/>
      <c r="O308" s="63"/>
      <c r="P308" s="68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717"/>
      <c r="B309" s="120"/>
      <c r="C309" s="120"/>
      <c r="D309" s="347" t="s">
        <v>139</v>
      </c>
      <c r="E309" s="347"/>
      <c r="F309" s="347"/>
      <c r="G309" s="126"/>
      <c r="H309" s="601" t="s">
        <v>33</v>
      </c>
      <c r="I309" s="216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4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63">
        <f t="shared" ref="K309:K312" ca="1" si="169">IF(I309&gt;0,J309*100/I309,0)</f>
        <v>100</v>
      </c>
      <c r="L309" s="63"/>
      <c r="M309" s="63"/>
      <c r="N309" s="63"/>
      <c r="O309" s="63"/>
      <c r="P309" s="68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717"/>
      <c r="B310" s="120"/>
      <c r="C310" s="120"/>
      <c r="D310" s="347" t="s">
        <v>140</v>
      </c>
      <c r="E310" s="347"/>
      <c r="F310" s="347"/>
      <c r="G310" s="126"/>
      <c r="H310" s="601" t="s">
        <v>33</v>
      </c>
      <c r="I310" s="216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4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735)</f>
        <v>735</v>
      </c>
      <c r="K310" s="63">
        <f t="shared" ca="1" si="169"/>
        <v>91.875</v>
      </c>
      <c r="L310" s="63"/>
      <c r="M310" s="63"/>
      <c r="N310" s="63"/>
      <c r="O310" s="63"/>
      <c r="P310" s="68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717"/>
      <c r="B311" s="120"/>
      <c r="C311" s="120"/>
      <c r="D311" s="347" t="s">
        <v>57</v>
      </c>
      <c r="E311" s="347"/>
      <c r="F311" s="347"/>
      <c r="G311" s="126"/>
      <c r="H311" s="601" t="s">
        <v>33</v>
      </c>
      <c r="I311" s="216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4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315)</f>
        <v>315</v>
      </c>
      <c r="K311" s="63">
        <f t="shared" ca="1" si="169"/>
        <v>39.375</v>
      </c>
      <c r="L311" s="63"/>
      <c r="M311" s="63"/>
      <c r="N311" s="63"/>
      <c r="O311" s="63"/>
      <c r="P311" s="68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717"/>
      <c r="B312" s="120"/>
      <c r="C312" s="120"/>
      <c r="D312" s="347" t="s">
        <v>141</v>
      </c>
      <c r="E312" s="347"/>
      <c r="F312" s="347"/>
      <c r="G312" s="126"/>
      <c r="H312" s="601" t="s">
        <v>33</v>
      </c>
      <c r="I312" s="216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4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89)</f>
        <v>89</v>
      </c>
      <c r="K312" s="63">
        <f t="shared" ca="1" si="169"/>
        <v>55.625</v>
      </c>
      <c r="L312" s="63"/>
      <c r="M312" s="63"/>
      <c r="N312" s="63"/>
      <c r="O312" s="63"/>
      <c r="P312" s="68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766" t="s">
        <v>142</v>
      </c>
      <c r="B313" s="348"/>
      <c r="C313" s="348"/>
      <c r="D313" s="349"/>
      <c r="E313" s="348"/>
      <c r="F313" s="348"/>
      <c r="G313" s="348"/>
      <c r="H313" s="350"/>
      <c r="I313" s="351"/>
      <c r="J313" s="351"/>
      <c r="K313" s="352"/>
      <c r="L313" s="352"/>
      <c r="M313" s="352"/>
      <c r="N313" s="352"/>
      <c r="O313" s="352"/>
      <c r="P313" s="767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768"/>
      <c r="B314" s="340" t="s">
        <v>143</v>
      </c>
      <c r="C314" s="353"/>
      <c r="D314" s="354"/>
      <c r="E314" s="341"/>
      <c r="F314" s="341"/>
      <c r="G314" s="342"/>
      <c r="H314" s="343" t="s">
        <v>144</v>
      </c>
      <c r="I314" s="344">
        <f t="shared" ref="I314:J314" ca="1" si="170">I325</f>
        <v>16</v>
      </c>
      <c r="J314" s="344">
        <f t="shared" ca="1" si="170"/>
        <v>14</v>
      </c>
      <c r="K314" s="345">
        <f ca="1">IF(I314&gt;0,J314*100/I314,0)</f>
        <v>87.5</v>
      </c>
      <c r="L314" s="346"/>
      <c r="M314" s="346"/>
      <c r="N314" s="346"/>
      <c r="O314" s="346"/>
      <c r="P314" s="765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713"/>
      <c r="B315" s="103"/>
      <c r="C315" s="860" t="s">
        <v>14</v>
      </c>
      <c r="D315" s="105" t="s">
        <v>15</v>
      </c>
      <c r="E315" s="103"/>
      <c r="F315" s="103"/>
      <c r="G315" s="106"/>
      <c r="H315" s="107" t="s">
        <v>12</v>
      </c>
      <c r="I315" s="108"/>
      <c r="J315" s="108"/>
      <c r="K315" s="109"/>
      <c r="L315" s="110">
        <f t="shared" ref="L315:N315" ca="1" si="171">L316+L317</f>
        <v>7751500</v>
      </c>
      <c r="M315" s="110">
        <f t="shared" ca="1" si="171"/>
        <v>7751500</v>
      </c>
      <c r="N315" s="110">
        <f t="shared" ca="1" si="171"/>
        <v>6405099.0899999999</v>
      </c>
      <c r="O315" s="110">
        <f t="shared" ref="O315:O323" ca="1" si="172">IF(L315&gt;0,N315*100/L315,0)</f>
        <v>82.630446881248787</v>
      </c>
      <c r="P315" s="714">
        <f t="shared" ref="P315:P323" ca="1" si="173">IF(M315&gt;0,N315*100/M315,0)</f>
        <v>82.630446881248787</v>
      </c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0.25" customHeight="1">
      <c r="A316" s="715"/>
      <c r="B316" s="24"/>
      <c r="C316" s="24"/>
      <c r="D316" s="24"/>
      <c r="E316" s="226" t="s">
        <v>16</v>
      </c>
      <c r="F316" s="24"/>
      <c r="G316" s="111"/>
      <c r="H316" s="112" t="s">
        <v>12</v>
      </c>
      <c r="I316" s="216"/>
      <c r="J316" s="216"/>
      <c r="K316" s="63"/>
      <c r="L316" s="63">
        <f t="shared" ref="L316:N316" ca="1" si="174">L319+L322</f>
        <v>1314500</v>
      </c>
      <c r="M316" s="63">
        <f t="shared" ca="1" si="174"/>
        <v>1229158.81</v>
      </c>
      <c r="N316" s="63">
        <f t="shared" ca="1" si="174"/>
        <v>713065.91</v>
      </c>
      <c r="O316" s="63">
        <f t="shared" ca="1" si="172"/>
        <v>54.246170406998857</v>
      </c>
      <c r="P316" s="684">
        <f t="shared" ca="1" si="173"/>
        <v>58.012512638623157</v>
      </c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0.25" customHeight="1">
      <c r="A317" s="715"/>
      <c r="B317" s="24"/>
      <c r="C317" s="24"/>
      <c r="D317" s="24"/>
      <c r="E317" s="226" t="s">
        <v>17</v>
      </c>
      <c r="F317" s="24"/>
      <c r="G317" s="111"/>
      <c r="H317" s="112" t="s">
        <v>12</v>
      </c>
      <c r="I317" s="216"/>
      <c r="J317" s="216"/>
      <c r="K317" s="63"/>
      <c r="L317" s="63">
        <f t="shared" ref="L317:N317" ca="1" si="175">L320+L323</f>
        <v>6437000</v>
      </c>
      <c r="M317" s="63">
        <f t="shared" ca="1" si="175"/>
        <v>6522341.1899999995</v>
      </c>
      <c r="N317" s="63">
        <f t="shared" ca="1" si="175"/>
        <v>5692033.1799999997</v>
      </c>
      <c r="O317" s="63">
        <f t="shared" ca="1" si="172"/>
        <v>88.426800994251977</v>
      </c>
      <c r="P317" s="684">
        <f t="shared" ca="1" si="173"/>
        <v>87.269785713249391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0.25" customHeight="1">
      <c r="A318" s="716"/>
      <c r="B318" s="19"/>
      <c r="C318" s="113"/>
      <c r="D318" s="20" t="s">
        <v>18</v>
      </c>
      <c r="E318" s="19"/>
      <c r="F318" s="19"/>
      <c r="G318" s="21"/>
      <c r="H318" s="114" t="s">
        <v>12</v>
      </c>
      <c r="I318" s="115"/>
      <c r="J318" s="115"/>
      <c r="K318" s="116"/>
      <c r="L318" s="23">
        <f t="shared" ref="L318:N318" ca="1" si="176">L319+L320</f>
        <v>4151500</v>
      </c>
      <c r="M318" s="23">
        <f t="shared" ca="1" si="176"/>
        <v>4151500</v>
      </c>
      <c r="N318" s="23">
        <f t="shared" ca="1" si="176"/>
        <v>2871277.9000000004</v>
      </c>
      <c r="O318" s="23">
        <f t="shared" ca="1" si="172"/>
        <v>69.162420811754799</v>
      </c>
      <c r="P318" s="682">
        <f t="shared" ca="1" si="173"/>
        <v>69.162420811754799</v>
      </c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0.25" customHeight="1">
      <c r="A319" s="715"/>
      <c r="B319" s="24"/>
      <c r="C319" s="113"/>
      <c r="D319" s="24"/>
      <c r="E319" s="226" t="s">
        <v>34</v>
      </c>
      <c r="F319" s="24"/>
      <c r="G319" s="111"/>
      <c r="H319" s="623" t="s">
        <v>12</v>
      </c>
      <c r="I319" s="128"/>
      <c r="J319" s="128"/>
      <c r="K319" s="117"/>
      <c r="L319" s="63">
        <f ca="1">IFERROR(__xludf.DUMMYFUNCTION("IMPORTRANGE(""https://docs.google.com/spreadsheets/d/1MeEWN-I1oV_STSDYn1IFDPWt_1FKiwhDph83XaGc0o0/edit?usp=sharing"",""งบพรบ!EC9"")"),1314500)</f>
        <v>1314500</v>
      </c>
      <c r="M319" s="63">
        <f ca="1">IFERROR(__xludf.DUMMYFUNCTION("IMPORTRANGE(""https://docs.google.com/spreadsheets/d/1MeEWN-I1oV_STSDYn1IFDPWt_1FKiwhDph83XaGc0o0/edit?usp=sharing"",""งบพรบ!EH9"")"),1216600)</f>
        <v>1216600</v>
      </c>
      <c r="N319" s="63">
        <f ca="1">IFERROR(__xludf.DUMMYFUNCTION("IMPORTRANGE(""https://docs.google.com/spreadsheets/d/1MeEWN-I1oV_STSDYn1IFDPWt_1FKiwhDph83XaGc0o0/edit?usp=sharing"",""งบพรบ!EJ9"")"),713065.91)</f>
        <v>713065.91</v>
      </c>
      <c r="O319" s="63">
        <f t="shared" ca="1" si="172"/>
        <v>54.246170406998857</v>
      </c>
      <c r="P319" s="684">
        <f t="shared" ca="1" si="173"/>
        <v>58.611368568140719</v>
      </c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0.25" customHeight="1">
      <c r="A320" s="715"/>
      <c r="B320" s="24"/>
      <c r="C320" s="113"/>
      <c r="D320" s="24"/>
      <c r="E320" s="226" t="s">
        <v>35</v>
      </c>
      <c r="F320" s="24"/>
      <c r="G320" s="111"/>
      <c r="H320" s="623" t="s">
        <v>12</v>
      </c>
      <c r="I320" s="128"/>
      <c r="J320" s="128"/>
      <c r="K320" s="117"/>
      <c r="L320" s="63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63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2934900)</f>
        <v>2934900</v>
      </c>
      <c r="N320" s="63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2158211.99)</f>
        <v>2158211.9900000002</v>
      </c>
      <c r="O320" s="63">
        <f t="shared" ca="1" si="172"/>
        <v>76.073739513570686</v>
      </c>
      <c r="P320" s="684">
        <f t="shared" ca="1" si="173"/>
        <v>73.536133769464044</v>
      </c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0.25" customHeight="1">
      <c r="A321" s="716"/>
      <c r="B321" s="19"/>
      <c r="C321" s="113"/>
      <c r="D321" s="20" t="s">
        <v>19</v>
      </c>
      <c r="E321" s="19"/>
      <c r="F321" s="19"/>
      <c r="G321" s="21"/>
      <c r="H321" s="118" t="s">
        <v>12</v>
      </c>
      <c r="I321" s="115"/>
      <c r="J321" s="115"/>
      <c r="K321" s="116"/>
      <c r="L321" s="23">
        <f t="shared" ref="L321:N321" ca="1" si="177">L322+L323</f>
        <v>3600000</v>
      </c>
      <c r="M321" s="23">
        <f t="shared" ca="1" si="177"/>
        <v>3600000</v>
      </c>
      <c r="N321" s="23">
        <f t="shared" ca="1" si="177"/>
        <v>3533821.19</v>
      </c>
      <c r="O321" s="23">
        <f t="shared" ca="1" si="172"/>
        <v>98.161699722222224</v>
      </c>
      <c r="P321" s="682">
        <f t="shared" ca="1" si="173"/>
        <v>98.161699722222224</v>
      </c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0.25" customHeight="1">
      <c r="A322" s="715"/>
      <c r="B322" s="24"/>
      <c r="C322" s="113"/>
      <c r="D322" s="24"/>
      <c r="E322" s="226" t="s">
        <v>16</v>
      </c>
      <c r="F322" s="24"/>
      <c r="G322" s="111"/>
      <c r="H322" s="623" t="s">
        <v>12</v>
      </c>
      <c r="I322" s="128"/>
      <c r="J322" s="128"/>
      <c r="K322" s="117"/>
      <c r="L322" s="63">
        <f ca="1">IFERROR(__xludf.DUMMYFUNCTION("IMPORTRANGE(""https://docs.google.com/spreadsheets/d/1MeEWN-I1oV_STSDYn1IFDPWt_1FKiwhDph83XaGc0o0/edit?usp=sharing"",""งบพรบ!EF9"")"),0)</f>
        <v>0</v>
      </c>
      <c r="M322" s="63">
        <f ca="1">IFERROR(__xludf.DUMMYFUNCTION("IMPORTRANGE(""https://docs.google.com/spreadsheets/d/1MeEWN-I1oV_STSDYn1IFDPWt_1FKiwhDph83XaGc0o0/edit?usp=sharing"",""งบพรบ!EI9"")"),12558.81)</f>
        <v>12558.81</v>
      </c>
      <c r="N322" s="63">
        <f ca="1">IFERROR(__xludf.DUMMYFUNCTION("IMPORTRANGE(""https://docs.google.com/spreadsheets/d/1MeEWN-I1oV_STSDYn1IFDPWt_1FKiwhDph83XaGc0o0/edit?usp=sharing"",""งบพรบ!EK9"")"),0)</f>
        <v>0</v>
      </c>
      <c r="O322" s="63">
        <f t="shared" ca="1" si="172"/>
        <v>0</v>
      </c>
      <c r="P322" s="684">
        <f t="shared" ca="1" si="173"/>
        <v>0</v>
      </c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0.25" customHeight="1">
      <c r="A323" s="715"/>
      <c r="B323" s="24"/>
      <c r="C323" s="113"/>
      <c r="D323" s="24"/>
      <c r="E323" s="226" t="s">
        <v>17</v>
      </c>
      <c r="F323" s="24"/>
      <c r="G323" s="111"/>
      <c r="H323" s="119" t="s">
        <v>12</v>
      </c>
      <c r="I323" s="128"/>
      <c r="J323" s="128"/>
      <c r="K323" s="117"/>
      <c r="L323" s="63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63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3587441.19)</f>
        <v>3587441.19</v>
      </c>
      <c r="N323" s="63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3533821.19)</f>
        <v>3533821.19</v>
      </c>
      <c r="O323" s="63">
        <f t="shared" ca="1" si="172"/>
        <v>98.161699722222224</v>
      </c>
      <c r="P323" s="684">
        <f t="shared" ca="1" si="173"/>
        <v>98.505341351672442</v>
      </c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0.25" customHeight="1">
      <c r="A324" s="717"/>
      <c r="B324" s="120"/>
      <c r="C324" s="860" t="s">
        <v>14</v>
      </c>
      <c r="D324" s="121" t="s">
        <v>36</v>
      </c>
      <c r="E324" s="122"/>
      <c r="F324" s="122"/>
      <c r="G324" s="123"/>
      <c r="H324" s="599"/>
      <c r="I324" s="128"/>
      <c r="J324" s="216"/>
      <c r="K324" s="63"/>
      <c r="L324" s="63"/>
      <c r="M324" s="63"/>
      <c r="N324" s="63"/>
      <c r="O324" s="117"/>
      <c r="P324" s="718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717"/>
      <c r="B325" s="120"/>
      <c r="C325" s="120"/>
      <c r="D325" s="124" t="s">
        <v>145</v>
      </c>
      <c r="E325" s="125"/>
      <c r="F325" s="347"/>
      <c r="G325" s="126"/>
      <c r="H325" s="228" t="s">
        <v>144</v>
      </c>
      <c r="I325" s="216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4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63">
        <f ca="1">IF(I325&gt;0,J325*100/I325,0)</f>
        <v>87.5</v>
      </c>
      <c r="L325" s="63"/>
      <c r="M325" s="63"/>
      <c r="N325" s="63"/>
      <c r="O325" s="117"/>
      <c r="P325" s="718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766" t="s">
        <v>146</v>
      </c>
      <c r="B326" s="348"/>
      <c r="C326" s="348"/>
      <c r="D326" s="349"/>
      <c r="E326" s="348"/>
      <c r="F326" s="348"/>
      <c r="G326" s="348"/>
      <c r="H326" s="350"/>
      <c r="I326" s="351"/>
      <c r="J326" s="351"/>
      <c r="K326" s="352"/>
      <c r="L326" s="352"/>
      <c r="M326" s="352"/>
      <c r="N326" s="352"/>
      <c r="O326" s="352"/>
      <c r="P326" s="767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764"/>
      <c r="B327" s="340" t="s">
        <v>147</v>
      </c>
      <c r="C327" s="354"/>
      <c r="D327" s="341"/>
      <c r="E327" s="341"/>
      <c r="F327" s="341"/>
      <c r="G327" s="342"/>
      <c r="H327" s="343" t="s">
        <v>33</v>
      </c>
      <c r="I327" s="344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44">
        <f ca="1">J338+J341+J342+J343</f>
        <v>317590</v>
      </c>
      <c r="K327" s="345">
        <f ca="1">IF(I327&gt;0,J327*100/I327,0)</f>
        <v>176.4388888888889</v>
      </c>
      <c r="L327" s="346"/>
      <c r="M327" s="346"/>
      <c r="N327" s="346"/>
      <c r="O327" s="346"/>
      <c r="P327" s="765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713"/>
      <c r="B328" s="103"/>
      <c r="C328" s="860" t="s">
        <v>14</v>
      </c>
      <c r="D328" s="105" t="s">
        <v>15</v>
      </c>
      <c r="E328" s="103"/>
      <c r="F328" s="103"/>
      <c r="G328" s="106"/>
      <c r="H328" s="107" t="s">
        <v>12</v>
      </c>
      <c r="I328" s="108"/>
      <c r="J328" s="108"/>
      <c r="K328" s="109"/>
      <c r="L328" s="110">
        <f t="shared" ref="L328:N328" ca="1" si="178">L329+L330</f>
        <v>19172300</v>
      </c>
      <c r="M328" s="110">
        <f t="shared" ca="1" si="178"/>
        <v>19455560</v>
      </c>
      <c r="N328" s="110">
        <f t="shared" ca="1" si="178"/>
        <v>14525797.869999999</v>
      </c>
      <c r="O328" s="110">
        <f t="shared" ref="O328:O336" ca="1" si="179">IF(L328&gt;0,N328*100/L328,0)</f>
        <v>75.764503319893805</v>
      </c>
      <c r="P328" s="714">
        <f t="shared" ref="P328:P336" ca="1" si="180">IF(M328&gt;0,N328*100/M328,0)</f>
        <v>74.661422595905748</v>
      </c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0.25" customHeight="1">
      <c r="A329" s="715"/>
      <c r="B329" s="24"/>
      <c r="C329" s="24"/>
      <c r="D329" s="24"/>
      <c r="E329" s="226" t="s">
        <v>16</v>
      </c>
      <c r="F329" s="24"/>
      <c r="G329" s="111"/>
      <c r="H329" s="112" t="s">
        <v>12</v>
      </c>
      <c r="I329" s="216"/>
      <c r="J329" s="216"/>
      <c r="K329" s="63"/>
      <c r="L329" s="63">
        <f t="shared" ref="L329:N329" ca="1" si="181">L332+L335</f>
        <v>761100</v>
      </c>
      <c r="M329" s="63">
        <f t="shared" ca="1" si="181"/>
        <v>486100</v>
      </c>
      <c r="N329" s="63">
        <f t="shared" ca="1" si="181"/>
        <v>342067.12</v>
      </c>
      <c r="O329" s="63">
        <f t="shared" ca="1" si="179"/>
        <v>44.943781369071083</v>
      </c>
      <c r="P329" s="684">
        <f t="shared" ca="1" si="180"/>
        <v>70.369701707467598</v>
      </c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0.25" customHeight="1">
      <c r="A330" s="715"/>
      <c r="B330" s="24"/>
      <c r="C330" s="24"/>
      <c r="D330" s="24"/>
      <c r="E330" s="226" t="s">
        <v>17</v>
      </c>
      <c r="F330" s="24"/>
      <c r="G330" s="111"/>
      <c r="H330" s="112" t="s">
        <v>12</v>
      </c>
      <c r="I330" s="216"/>
      <c r="J330" s="216"/>
      <c r="K330" s="63"/>
      <c r="L330" s="63">
        <f t="shared" ref="L330:N330" ca="1" si="182">L333+L336</f>
        <v>18411200</v>
      </c>
      <c r="M330" s="63">
        <f t="shared" ca="1" si="182"/>
        <v>18969460</v>
      </c>
      <c r="N330" s="63">
        <f t="shared" ca="1" si="182"/>
        <v>14183730.75</v>
      </c>
      <c r="O330" s="63">
        <f t="shared" ca="1" si="179"/>
        <v>77.038600145563564</v>
      </c>
      <c r="P330" s="684">
        <f t="shared" ca="1" si="180"/>
        <v>74.771399660296069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0.25" customHeight="1">
      <c r="A331" s="716"/>
      <c r="B331" s="19"/>
      <c r="C331" s="113"/>
      <c r="D331" s="20" t="s">
        <v>18</v>
      </c>
      <c r="E331" s="19"/>
      <c r="F331" s="19"/>
      <c r="G331" s="21"/>
      <c r="H331" s="114" t="s">
        <v>12</v>
      </c>
      <c r="I331" s="115"/>
      <c r="J331" s="115"/>
      <c r="K331" s="116"/>
      <c r="L331" s="23">
        <f t="shared" ref="L331:N331" ca="1" si="183">L332+L333</f>
        <v>16510300</v>
      </c>
      <c r="M331" s="23">
        <f t="shared" ca="1" si="183"/>
        <v>16510300</v>
      </c>
      <c r="N331" s="23">
        <f t="shared" ca="1" si="183"/>
        <v>12010797.869999999</v>
      </c>
      <c r="O331" s="23">
        <f t="shared" ca="1" si="179"/>
        <v>72.74730241122208</v>
      </c>
      <c r="P331" s="682">
        <f t="shared" ca="1" si="180"/>
        <v>72.74730241122208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0.25" customHeight="1">
      <c r="A332" s="715"/>
      <c r="B332" s="24"/>
      <c r="C332" s="113"/>
      <c r="D332" s="24"/>
      <c r="E332" s="226" t="s">
        <v>34</v>
      </c>
      <c r="F332" s="24"/>
      <c r="G332" s="111"/>
      <c r="H332" s="623" t="s">
        <v>12</v>
      </c>
      <c r="I332" s="128"/>
      <c r="J332" s="128"/>
      <c r="K332" s="117"/>
      <c r="L332" s="63">
        <f ca="1">IFERROR(__xludf.DUMMYFUNCTION("IMPORTRANGE(""https://docs.google.com/spreadsheets/d/1MeEWN-I1oV_STSDYn1IFDPWt_1FKiwhDph83XaGc0o0/edit?usp=sharing"",""งบพรบ!EM9"")"),761100)</f>
        <v>761100</v>
      </c>
      <c r="M332" s="63">
        <f ca="1">IFERROR(__xludf.DUMMYFUNCTION("IMPORTRANGE(""https://docs.google.com/spreadsheets/d/1MeEWN-I1oV_STSDYn1IFDPWt_1FKiwhDph83XaGc0o0/edit?usp=sharing"",""งบพรบ!ER9"")"),486100)</f>
        <v>486100</v>
      </c>
      <c r="N332" s="63">
        <f ca="1">IFERROR(__xludf.DUMMYFUNCTION("IMPORTRANGE(""https://docs.google.com/spreadsheets/d/1MeEWN-I1oV_STSDYn1IFDPWt_1FKiwhDph83XaGc0o0/edit?usp=sharing"",""งบพรบ!ET9"")"),342067.12)</f>
        <v>342067.12</v>
      </c>
      <c r="O332" s="63">
        <f t="shared" ca="1" si="179"/>
        <v>44.943781369071083</v>
      </c>
      <c r="P332" s="684">
        <f t="shared" ca="1" si="180"/>
        <v>70.369701707467598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0.25" customHeight="1">
      <c r="A333" s="715"/>
      <c r="B333" s="24"/>
      <c r="C333" s="113"/>
      <c r="D333" s="24"/>
      <c r="E333" s="226" t="s">
        <v>35</v>
      </c>
      <c r="F333" s="24"/>
      <c r="G333" s="111"/>
      <c r="H333" s="623" t="s">
        <v>12</v>
      </c>
      <c r="I333" s="128"/>
      <c r="J333" s="128"/>
      <c r="K333" s="117"/>
      <c r="L333" s="63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63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16024200)</f>
        <v>16024200</v>
      </c>
      <c r="N333" s="63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11668730.75)</f>
        <v>11668730.75</v>
      </c>
      <c r="O333" s="63">
        <f t="shared" ca="1" si="179"/>
        <v>74.090942714550579</v>
      </c>
      <c r="P333" s="684">
        <f t="shared" ca="1" si="180"/>
        <v>72.819427802948042</v>
      </c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0.25" customHeight="1">
      <c r="A334" s="716"/>
      <c r="B334" s="19"/>
      <c r="C334" s="113"/>
      <c r="D334" s="20" t="s">
        <v>19</v>
      </c>
      <c r="E334" s="19"/>
      <c r="F334" s="19"/>
      <c r="G334" s="21"/>
      <c r="H334" s="118" t="s">
        <v>12</v>
      </c>
      <c r="I334" s="115"/>
      <c r="J334" s="115"/>
      <c r="K334" s="116"/>
      <c r="L334" s="23">
        <f t="shared" ref="L334:N334" ca="1" si="184">L335+L336</f>
        <v>2662000</v>
      </c>
      <c r="M334" s="23">
        <f t="shared" ca="1" si="184"/>
        <v>2945260</v>
      </c>
      <c r="N334" s="23">
        <f t="shared" ca="1" si="184"/>
        <v>2515000</v>
      </c>
      <c r="O334" s="23">
        <f t="shared" ca="1" si="179"/>
        <v>94.477836213373408</v>
      </c>
      <c r="P334" s="682">
        <f t="shared" ca="1" si="180"/>
        <v>85.391442521203558</v>
      </c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0.25" customHeight="1">
      <c r="A335" s="715"/>
      <c r="B335" s="24"/>
      <c r="C335" s="113"/>
      <c r="D335" s="24"/>
      <c r="E335" s="226" t="s">
        <v>16</v>
      </c>
      <c r="F335" s="24"/>
      <c r="G335" s="111"/>
      <c r="H335" s="623" t="s">
        <v>12</v>
      </c>
      <c r="I335" s="128"/>
      <c r="J335" s="128"/>
      <c r="K335" s="117"/>
      <c r="L335" s="63">
        <f ca="1">IFERROR(__xludf.DUMMYFUNCTION("IMPORTRANGE(""https://docs.google.com/spreadsheets/d/1MeEWN-I1oV_STSDYn1IFDPWt_1FKiwhDph83XaGc0o0/edit?usp=sharing"",""งบพรบ!EP9"")"),0)</f>
        <v>0</v>
      </c>
      <c r="M335" s="63">
        <f ca="1">IFERROR(__xludf.DUMMYFUNCTION("IMPORTRANGE(""https://docs.google.com/spreadsheets/d/1MeEWN-I1oV_STSDYn1IFDPWt_1FKiwhDph83XaGc0o0/edit?usp=sharing"",""งบพรบ!ES9"")"),0)</f>
        <v>0</v>
      </c>
      <c r="N335" s="63">
        <f ca="1">IFERROR(__xludf.DUMMYFUNCTION("IMPORTRANGE(""https://docs.google.com/spreadsheets/d/1MeEWN-I1oV_STSDYn1IFDPWt_1FKiwhDph83XaGc0o0/edit?usp=sharing"",""งบพรบ!EU9"")"),0)</f>
        <v>0</v>
      </c>
      <c r="O335" s="63">
        <f t="shared" ca="1" si="179"/>
        <v>0</v>
      </c>
      <c r="P335" s="684">
        <f t="shared" ca="1" si="180"/>
        <v>0</v>
      </c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0.25" customHeight="1">
      <c r="A336" s="715"/>
      <c r="B336" s="24"/>
      <c r="C336" s="113"/>
      <c r="D336" s="24"/>
      <c r="E336" s="226" t="s">
        <v>17</v>
      </c>
      <c r="F336" s="24"/>
      <c r="G336" s="111"/>
      <c r="H336" s="119" t="s">
        <v>12</v>
      </c>
      <c r="I336" s="128"/>
      <c r="J336" s="128"/>
      <c r="K336" s="117"/>
      <c r="L336" s="63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63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2945260)</f>
        <v>2945260</v>
      </c>
      <c r="N336" s="63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2515000)</f>
        <v>2515000</v>
      </c>
      <c r="O336" s="63">
        <f t="shared" ca="1" si="179"/>
        <v>94.477836213373408</v>
      </c>
      <c r="P336" s="684">
        <f t="shared" ca="1" si="180"/>
        <v>85.391442521203558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0.25" customHeight="1">
      <c r="A337" s="717"/>
      <c r="B337" s="120"/>
      <c r="C337" s="860" t="s">
        <v>14</v>
      </c>
      <c r="D337" s="121" t="s">
        <v>36</v>
      </c>
      <c r="E337" s="122"/>
      <c r="F337" s="122"/>
      <c r="G337" s="123"/>
      <c r="H337" s="599"/>
      <c r="I337" s="128"/>
      <c r="J337" s="216"/>
      <c r="K337" s="63"/>
      <c r="L337" s="63"/>
      <c r="M337" s="63"/>
      <c r="N337" s="63"/>
      <c r="O337" s="117"/>
      <c r="P337" s="718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738"/>
      <c r="B338" s="24"/>
      <c r="C338" s="225"/>
      <c r="D338" s="347" t="s">
        <v>148</v>
      </c>
      <c r="E338" s="120"/>
      <c r="F338" s="24"/>
      <c r="G338" s="25"/>
      <c r="H338" s="221" t="s">
        <v>33</v>
      </c>
      <c r="I338" s="216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16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292593)</f>
        <v>292593</v>
      </c>
      <c r="K338" s="63">
        <f ca="1">IF(I338&gt;0,J338*100/I338,0)</f>
        <v>162.55166666666668</v>
      </c>
      <c r="L338" s="63"/>
      <c r="M338" s="63"/>
      <c r="N338" s="63"/>
      <c r="O338" s="63"/>
      <c r="P338" s="68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738"/>
      <c r="B339" s="24"/>
      <c r="C339" s="225"/>
      <c r="D339" s="347" t="s">
        <v>149</v>
      </c>
      <c r="E339" s="120"/>
      <c r="F339" s="24"/>
      <c r="G339" s="25"/>
      <c r="H339" s="221"/>
      <c r="I339" s="216"/>
      <c r="J339" s="216"/>
      <c r="K339" s="63"/>
      <c r="L339" s="63"/>
      <c r="M339" s="63"/>
      <c r="N339" s="63"/>
      <c r="O339" s="63"/>
      <c r="P339" s="68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738"/>
      <c r="B340" s="24"/>
      <c r="C340" s="225"/>
      <c r="D340" s="125"/>
      <c r="E340" s="347" t="s">
        <v>150</v>
      </c>
      <c r="F340" s="24"/>
      <c r="G340" s="25"/>
      <c r="H340" s="221" t="s">
        <v>151</v>
      </c>
      <c r="I340" s="216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16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353)</f>
        <v>353</v>
      </c>
      <c r="K340" s="63">
        <f ca="1">IF(I340&gt;0,J340*100/I340,0)</f>
        <v>88.25</v>
      </c>
      <c r="L340" s="63"/>
      <c r="M340" s="63"/>
      <c r="N340" s="63"/>
      <c r="O340" s="63"/>
      <c r="P340" s="68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738"/>
      <c r="B341" s="24"/>
      <c r="C341" s="225"/>
      <c r="D341" s="125"/>
      <c r="E341" s="347" t="s">
        <v>152</v>
      </c>
      <c r="F341" s="24"/>
      <c r="G341" s="25"/>
      <c r="H341" s="221" t="s">
        <v>33</v>
      </c>
      <c r="I341" s="216"/>
      <c r="J341" s="216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21696)</f>
        <v>21696</v>
      </c>
      <c r="K341" s="63"/>
      <c r="L341" s="63"/>
      <c r="M341" s="63"/>
      <c r="N341" s="63"/>
      <c r="O341" s="63"/>
      <c r="P341" s="68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738"/>
      <c r="B342" s="24"/>
      <c r="C342" s="225"/>
      <c r="D342" s="347" t="s">
        <v>153</v>
      </c>
      <c r="E342" s="125"/>
      <c r="F342" s="125"/>
      <c r="G342" s="25"/>
      <c r="H342" s="221" t="s">
        <v>33</v>
      </c>
      <c r="I342" s="216"/>
      <c r="J342" s="216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289)</f>
        <v>289</v>
      </c>
      <c r="K342" s="63"/>
      <c r="L342" s="63"/>
      <c r="M342" s="63"/>
      <c r="N342" s="63"/>
      <c r="O342" s="63"/>
      <c r="P342" s="68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738"/>
      <c r="B343" s="24"/>
      <c r="C343" s="225"/>
      <c r="D343" s="347" t="s">
        <v>154</v>
      </c>
      <c r="E343" s="125"/>
      <c r="F343" s="125"/>
      <c r="G343" s="25"/>
      <c r="H343" s="221" t="s">
        <v>33</v>
      </c>
      <c r="I343" s="216"/>
      <c r="J343" s="216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3012)</f>
        <v>3012</v>
      </c>
      <c r="K343" s="63"/>
      <c r="L343" s="63"/>
      <c r="M343" s="63"/>
      <c r="N343" s="63"/>
      <c r="O343" s="63"/>
      <c r="P343" s="68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764"/>
      <c r="B344" s="340" t="s">
        <v>155</v>
      </c>
      <c r="C344" s="354"/>
      <c r="D344" s="341"/>
      <c r="E344" s="341"/>
      <c r="F344" s="341"/>
      <c r="G344" s="342"/>
      <c r="H344" s="343"/>
      <c r="I344" s="355"/>
      <c r="J344" s="355"/>
      <c r="K344" s="346"/>
      <c r="L344" s="346"/>
      <c r="M344" s="346"/>
      <c r="N344" s="346"/>
      <c r="O344" s="346"/>
      <c r="P344" s="765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713"/>
      <c r="B345" s="103"/>
      <c r="C345" s="860" t="s">
        <v>14</v>
      </c>
      <c r="D345" s="105" t="s">
        <v>15</v>
      </c>
      <c r="E345" s="103"/>
      <c r="F345" s="103"/>
      <c r="G345" s="106"/>
      <c r="H345" s="107" t="s">
        <v>12</v>
      </c>
      <c r="I345" s="108"/>
      <c r="J345" s="108"/>
      <c r="K345" s="109"/>
      <c r="L345" s="110">
        <f t="shared" ref="L345:N345" ca="1" si="185">L346+L347</f>
        <v>128736700</v>
      </c>
      <c r="M345" s="110">
        <f t="shared" ca="1" si="185"/>
        <v>128453440</v>
      </c>
      <c r="N345" s="110">
        <f t="shared" ca="1" si="185"/>
        <v>99626997.219999999</v>
      </c>
      <c r="O345" s="110">
        <f t="shared" ref="O345:O353" ca="1" si="186">IF(L345&gt;0,N345*100/L345,0)</f>
        <v>77.388186290311936</v>
      </c>
      <c r="P345" s="714">
        <f t="shared" ref="P345:P353" ca="1" si="187">IF(M345&gt;0,N345*100/M345,0)</f>
        <v>77.558839389587391</v>
      </c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0.25" customHeight="1">
      <c r="A346" s="715"/>
      <c r="B346" s="24"/>
      <c r="C346" s="24"/>
      <c r="D346" s="24"/>
      <c r="E346" s="226" t="s">
        <v>16</v>
      </c>
      <c r="F346" s="24"/>
      <c r="G346" s="111"/>
      <c r="H346" s="112" t="s">
        <v>12</v>
      </c>
      <c r="I346" s="216"/>
      <c r="J346" s="216"/>
      <c r="K346" s="63"/>
      <c r="L346" s="63">
        <f t="shared" ref="L346:N346" ca="1" si="188">L349+L352</f>
        <v>62028570</v>
      </c>
      <c r="M346" s="63">
        <f t="shared" ca="1" si="188"/>
        <v>54885663</v>
      </c>
      <c r="N346" s="63">
        <f t="shared" ca="1" si="188"/>
        <v>47416692.769999996</v>
      </c>
      <c r="O346" s="63">
        <f t="shared" ca="1" si="186"/>
        <v>76.443311154843641</v>
      </c>
      <c r="P346" s="684">
        <f t="shared" ca="1" si="187"/>
        <v>86.391764585225104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0.25" customHeight="1">
      <c r="A347" s="715"/>
      <c r="B347" s="24"/>
      <c r="C347" s="24"/>
      <c r="D347" s="24"/>
      <c r="E347" s="226" t="s">
        <v>17</v>
      </c>
      <c r="F347" s="24"/>
      <c r="G347" s="111"/>
      <c r="H347" s="112" t="s">
        <v>12</v>
      </c>
      <c r="I347" s="216"/>
      <c r="J347" s="216"/>
      <c r="K347" s="63"/>
      <c r="L347" s="63">
        <f t="shared" ref="L347:N347" ca="1" si="189">L350+L353</f>
        <v>66708130</v>
      </c>
      <c r="M347" s="63">
        <f t="shared" ca="1" si="189"/>
        <v>73567777</v>
      </c>
      <c r="N347" s="63">
        <f t="shared" ca="1" si="189"/>
        <v>52210304.450000003</v>
      </c>
      <c r="O347" s="63">
        <f t="shared" ca="1" si="186"/>
        <v>78.266778652017379</v>
      </c>
      <c r="P347" s="684">
        <f t="shared" ca="1" si="187"/>
        <v>70.968984763533086</v>
      </c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0.25" customHeight="1">
      <c r="A348" s="716"/>
      <c r="B348" s="19"/>
      <c r="C348" s="113"/>
      <c r="D348" s="20" t="s">
        <v>18</v>
      </c>
      <c r="E348" s="19"/>
      <c r="F348" s="19"/>
      <c r="G348" s="21"/>
      <c r="H348" s="114" t="s">
        <v>12</v>
      </c>
      <c r="I348" s="115"/>
      <c r="J348" s="115"/>
      <c r="K348" s="116"/>
      <c r="L348" s="23">
        <f t="shared" ref="L348:N348" ca="1" si="190">L349+L350</f>
        <v>96916700</v>
      </c>
      <c r="M348" s="23">
        <f t="shared" ca="1" si="190"/>
        <v>99356700</v>
      </c>
      <c r="N348" s="23">
        <f t="shared" ca="1" si="190"/>
        <v>73108399.950000003</v>
      </c>
      <c r="O348" s="23">
        <f t="shared" ca="1" si="186"/>
        <v>75.434264631379321</v>
      </c>
      <c r="P348" s="682">
        <f t="shared" ca="1" si="187"/>
        <v>73.581751356476218</v>
      </c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0.25" customHeight="1">
      <c r="A349" s="715"/>
      <c r="B349" s="24"/>
      <c r="C349" s="113"/>
      <c r="D349" s="24"/>
      <c r="E349" s="226" t="s">
        <v>34</v>
      </c>
      <c r="F349" s="24"/>
      <c r="G349" s="111"/>
      <c r="H349" s="623" t="s">
        <v>12</v>
      </c>
      <c r="I349" s="128"/>
      <c r="J349" s="128"/>
      <c r="K349" s="117"/>
      <c r="L349" s="63">
        <f ca="1">IFERROR(__xludf.DUMMYFUNCTION("IMPORTRANGE(""https://docs.google.com/spreadsheets/d/1MeEWN-I1oV_STSDYn1IFDPWt_1FKiwhDph83XaGc0o0/edit?usp=sharing"",""งบพรบ!EW9"")"),37564970)</f>
        <v>37564970</v>
      </c>
      <c r="M349" s="63">
        <f ca="1">IFERROR(__xludf.DUMMYFUNCTION("IMPORTRANGE(""https://docs.google.com/spreadsheets/d/1MeEWN-I1oV_STSDYn1IFDPWt_1FKiwhDph83XaGc0o0/edit?usp=sharing"",""งบพรบ!FB9"")"),33407873)</f>
        <v>33407873</v>
      </c>
      <c r="N349" s="63">
        <f ca="1">IFERROR(__xludf.DUMMYFUNCTION("IMPORTRANGE(""https://docs.google.com/spreadsheets/d/1MeEWN-I1oV_STSDYn1IFDPWt_1FKiwhDph83XaGc0o0/edit?usp=sharing"",""งบพรบ!FD9"")"),28201145.5)</f>
        <v>28201145.5</v>
      </c>
      <c r="O349" s="63">
        <f t="shared" ca="1" si="186"/>
        <v>75.072988212156162</v>
      </c>
      <c r="P349" s="684">
        <f t="shared" ca="1" si="187"/>
        <v>84.414669260745811</v>
      </c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0.25" customHeight="1">
      <c r="A350" s="715"/>
      <c r="B350" s="24"/>
      <c r="C350" s="113"/>
      <c r="D350" s="24"/>
      <c r="E350" s="226" t="s">
        <v>35</v>
      </c>
      <c r="F350" s="24"/>
      <c r="G350" s="111"/>
      <c r="H350" s="623" t="s">
        <v>12</v>
      </c>
      <c r="I350" s="128"/>
      <c r="J350" s="128"/>
      <c r="K350" s="117"/>
      <c r="L350" s="63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63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65948827)</f>
        <v>65948827</v>
      </c>
      <c r="N350" s="63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44907254.45)</f>
        <v>44907254.450000003</v>
      </c>
      <c r="O350" s="63">
        <f t="shared" ca="1" si="186"/>
        <v>75.662924147282652</v>
      </c>
      <c r="P350" s="684">
        <f t="shared" ca="1" si="187"/>
        <v>68.094091271706773</v>
      </c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0.25" customHeight="1">
      <c r="A351" s="716"/>
      <c r="B351" s="19"/>
      <c r="C351" s="113"/>
      <c r="D351" s="20" t="s">
        <v>19</v>
      </c>
      <c r="E351" s="19"/>
      <c r="F351" s="19"/>
      <c r="G351" s="21"/>
      <c r="H351" s="118" t="s">
        <v>12</v>
      </c>
      <c r="I351" s="115"/>
      <c r="J351" s="115"/>
      <c r="K351" s="116"/>
      <c r="L351" s="23">
        <f t="shared" ref="L351:N351" ca="1" si="191">L352+L353</f>
        <v>31820000</v>
      </c>
      <c r="M351" s="23">
        <f t="shared" ca="1" si="191"/>
        <v>29096740</v>
      </c>
      <c r="N351" s="23">
        <f t="shared" ca="1" si="191"/>
        <v>26518597.27</v>
      </c>
      <c r="O351" s="23">
        <f t="shared" ca="1" si="186"/>
        <v>83.339400597108735</v>
      </c>
      <c r="P351" s="682">
        <f t="shared" ca="1" si="187"/>
        <v>91.13941036006095</v>
      </c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0.25" customHeight="1">
      <c r="A352" s="715"/>
      <c r="B352" s="24"/>
      <c r="C352" s="113"/>
      <c r="D352" s="24"/>
      <c r="E352" s="226" t="s">
        <v>16</v>
      </c>
      <c r="F352" s="24"/>
      <c r="G352" s="111"/>
      <c r="H352" s="623" t="s">
        <v>12</v>
      </c>
      <c r="I352" s="128"/>
      <c r="J352" s="128"/>
      <c r="K352" s="117"/>
      <c r="L352" s="63">
        <f ca="1">IFERROR(__xludf.DUMMYFUNCTION("IMPORTRANGE(""https://docs.google.com/spreadsheets/d/1MeEWN-I1oV_STSDYn1IFDPWt_1FKiwhDph83XaGc0o0/edit?usp=sharing"",""งบพรบ!EZ9"")"),24463600)</f>
        <v>24463600</v>
      </c>
      <c r="M352" s="63">
        <f ca="1">IFERROR(__xludf.DUMMYFUNCTION("IMPORTRANGE(""https://docs.google.com/spreadsheets/d/1MeEWN-I1oV_STSDYn1IFDPWt_1FKiwhDph83XaGc0o0/edit?usp=sharing"",""งบพรบ!FC9"")"),21477790)</f>
        <v>21477790</v>
      </c>
      <c r="N352" s="63">
        <f ca="1">IFERROR(__xludf.DUMMYFUNCTION("IMPORTRANGE(""https://docs.google.com/spreadsheets/d/1MeEWN-I1oV_STSDYn1IFDPWt_1FKiwhDph83XaGc0o0/edit?usp=sharing"",""งบพรบ!FE9"")"),19215547.27)</f>
        <v>19215547.27</v>
      </c>
      <c r="O352" s="63">
        <f t="shared" ca="1" si="186"/>
        <v>78.54750433296816</v>
      </c>
      <c r="P352" s="684">
        <f t="shared" ca="1" si="187"/>
        <v>89.467060018744945</v>
      </c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0.25" customHeight="1">
      <c r="A353" s="715"/>
      <c r="B353" s="24"/>
      <c r="C353" s="113"/>
      <c r="D353" s="24"/>
      <c r="E353" s="226" t="s">
        <v>17</v>
      </c>
      <c r="F353" s="24"/>
      <c r="G353" s="111"/>
      <c r="H353" s="119" t="s">
        <v>12</v>
      </c>
      <c r="I353" s="128"/>
      <c r="J353" s="128"/>
      <c r="K353" s="117"/>
      <c r="L353" s="63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63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7618950)</f>
        <v>7618950</v>
      </c>
      <c r="N353" s="63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63">
        <f t="shared" ca="1" si="186"/>
        <v>99.27478114295036</v>
      </c>
      <c r="P353" s="684">
        <f t="shared" ca="1" si="187"/>
        <v>95.853759376292004</v>
      </c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0.25" customHeight="1">
      <c r="A354" s="769"/>
      <c r="B354" s="356"/>
      <c r="C354" s="357"/>
      <c r="D354" s="358" t="s">
        <v>156</v>
      </c>
      <c r="E354" s="357"/>
      <c r="F354" s="357"/>
      <c r="G354" s="359"/>
      <c r="H354" s="360"/>
      <c r="I354" s="361"/>
      <c r="J354" s="361"/>
      <c r="K354" s="362"/>
      <c r="L354" s="362"/>
      <c r="M354" s="362"/>
      <c r="N354" s="362"/>
      <c r="O354" s="362"/>
      <c r="P354" s="770"/>
    </row>
    <row r="355" spans="1:26" ht="20.25" customHeight="1">
      <c r="A355" s="771"/>
      <c r="B355" s="363"/>
      <c r="C355" s="364"/>
      <c r="D355" s="365" t="s">
        <v>157</v>
      </c>
      <c r="E355" s="366"/>
      <c r="F355" s="366"/>
      <c r="G355" s="367"/>
      <c r="H355" s="368" t="s">
        <v>33</v>
      </c>
      <c r="I355" s="369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369">
        <f ca="1">J362</f>
        <v>11618</v>
      </c>
      <c r="K355" s="370">
        <f ca="1">IF(I355&gt;0,J355*100/I355,0)</f>
        <v>48.217472504669018</v>
      </c>
      <c r="L355" s="371"/>
      <c r="M355" s="371"/>
      <c r="N355" s="371"/>
      <c r="O355" s="371"/>
      <c r="P355" s="772"/>
    </row>
    <row r="356" spans="1:26" ht="20.25" customHeight="1">
      <c r="A356" s="771"/>
      <c r="B356" s="363"/>
      <c r="C356" s="364"/>
      <c r="D356" s="372" t="s">
        <v>158</v>
      </c>
      <c r="E356" s="366"/>
      <c r="F356" s="366"/>
      <c r="G356" s="367"/>
      <c r="H356" s="373"/>
      <c r="I356" s="374"/>
      <c r="J356" s="374"/>
      <c r="K356" s="371"/>
      <c r="L356" s="371"/>
      <c r="M356" s="371"/>
      <c r="N356" s="371"/>
      <c r="O356" s="371"/>
      <c r="P356" s="772"/>
    </row>
    <row r="357" spans="1:26" ht="20.25" customHeight="1">
      <c r="A357" s="723"/>
      <c r="B357" s="143"/>
      <c r="C357" s="860" t="s">
        <v>14</v>
      </c>
      <c r="D357" s="144" t="s">
        <v>36</v>
      </c>
      <c r="E357" s="145"/>
      <c r="F357" s="145"/>
      <c r="G357" s="146"/>
      <c r="H357" s="147"/>
      <c r="I357" s="307"/>
      <c r="J357" s="307"/>
      <c r="K357" s="400"/>
      <c r="L357" s="148"/>
      <c r="M357" s="148"/>
      <c r="N357" s="148"/>
      <c r="O357" s="148"/>
      <c r="P357" s="724"/>
    </row>
    <row r="358" spans="1:26" ht="20.25" customHeight="1">
      <c r="A358" s="723"/>
      <c r="B358" s="150"/>
      <c r="C358" s="143"/>
      <c r="D358" s="150"/>
      <c r="E358" s="375" t="s">
        <v>159</v>
      </c>
      <c r="F358" s="150"/>
      <c r="G358" s="151"/>
      <c r="H358" s="306" t="s">
        <v>33</v>
      </c>
      <c r="I358" s="307">
        <v>0</v>
      </c>
      <c r="J358" s="307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21930)</f>
        <v>21930</v>
      </c>
      <c r="K358" s="400">
        <f t="shared" ref="K358:K365" si="192">IF(I358&gt;0,J358*100/I358,0)</f>
        <v>0</v>
      </c>
      <c r="L358" s="148"/>
      <c r="M358" s="148"/>
      <c r="N358" s="148"/>
      <c r="O358" s="148"/>
      <c r="P358" s="724"/>
    </row>
    <row r="359" spans="1:26" ht="20.25" customHeight="1">
      <c r="A359" s="723"/>
      <c r="B359" s="150"/>
      <c r="C359" s="143"/>
      <c r="D359" s="150"/>
      <c r="E359" s="150"/>
      <c r="F359" s="150"/>
      <c r="G359" s="151"/>
      <c r="H359" s="306" t="s">
        <v>44</v>
      </c>
      <c r="I359" s="307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307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190664.28)</f>
        <v>190664.28</v>
      </c>
      <c r="K359" s="400">
        <f t="shared" ca="1" si="192"/>
        <v>77.510531129946955</v>
      </c>
      <c r="L359" s="148"/>
      <c r="M359" s="148"/>
      <c r="N359" s="148"/>
      <c r="O359" s="148"/>
      <c r="P359" s="724"/>
    </row>
    <row r="360" spans="1:26" ht="20.25" customHeight="1">
      <c r="A360" s="723"/>
      <c r="B360" s="150"/>
      <c r="C360" s="143"/>
      <c r="D360" s="150"/>
      <c r="E360" s="375" t="s">
        <v>160</v>
      </c>
      <c r="F360" s="150"/>
      <c r="G360" s="151"/>
      <c r="H360" s="312" t="s">
        <v>33</v>
      </c>
      <c r="I360" s="307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307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17832)</f>
        <v>17832</v>
      </c>
      <c r="K360" s="400">
        <f t="shared" ca="1" si="192"/>
        <v>74.007055405685833</v>
      </c>
      <c r="L360" s="148"/>
      <c r="M360" s="148"/>
      <c r="N360" s="148"/>
      <c r="O360" s="148"/>
      <c r="P360" s="724"/>
    </row>
    <row r="361" spans="1:26" ht="20.25" customHeight="1">
      <c r="A361" s="723"/>
      <c r="B361" s="150"/>
      <c r="C361" s="143"/>
      <c r="D361" s="150"/>
      <c r="E361" s="150"/>
      <c r="F361" s="150"/>
      <c r="G361" s="151"/>
      <c r="H361" s="312" t="s">
        <v>44</v>
      </c>
      <c r="I361" s="307">
        <v>0</v>
      </c>
      <c r="J361" s="307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157932.879999999)</f>
        <v>157932.87999999899</v>
      </c>
      <c r="K361" s="400">
        <f t="shared" si="192"/>
        <v>0</v>
      </c>
      <c r="L361" s="148"/>
      <c r="M361" s="148"/>
      <c r="N361" s="148"/>
      <c r="O361" s="148"/>
      <c r="P361" s="724"/>
    </row>
    <row r="362" spans="1:26" ht="20.25" customHeight="1">
      <c r="A362" s="723"/>
      <c r="B362" s="150"/>
      <c r="C362" s="143"/>
      <c r="D362" s="150"/>
      <c r="E362" s="375" t="s">
        <v>161</v>
      </c>
      <c r="F362" s="150"/>
      <c r="G362" s="151"/>
      <c r="H362" s="312" t="s">
        <v>33</v>
      </c>
      <c r="I362" s="307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307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11618)</f>
        <v>11618</v>
      </c>
      <c r="K362" s="400">
        <f t="shared" ca="1" si="192"/>
        <v>48.217472504669018</v>
      </c>
      <c r="L362" s="148"/>
      <c r="M362" s="148"/>
      <c r="N362" s="148"/>
      <c r="O362" s="148"/>
      <c r="P362" s="724"/>
    </row>
    <row r="363" spans="1:26" ht="20.25" customHeight="1">
      <c r="A363" s="773" t="s">
        <v>162</v>
      </c>
      <c r="B363" s="150"/>
      <c r="C363" s="143"/>
      <c r="D363" s="150"/>
      <c r="E363" s="149"/>
      <c r="F363" s="150"/>
      <c r="G363" s="151"/>
      <c r="H363" s="312" t="s">
        <v>44</v>
      </c>
      <c r="I363" s="307">
        <v>0</v>
      </c>
      <c r="J363" s="307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100155.73)</f>
        <v>100155.73</v>
      </c>
      <c r="K363" s="400">
        <f t="shared" si="192"/>
        <v>0</v>
      </c>
      <c r="L363" s="148"/>
      <c r="M363" s="148"/>
      <c r="N363" s="148"/>
      <c r="O363" s="148"/>
      <c r="P363" s="724"/>
    </row>
    <row r="364" spans="1:26" ht="20.25" customHeight="1">
      <c r="A364" s="774"/>
      <c r="B364" s="376"/>
      <c r="C364" s="377"/>
      <c r="D364" s="378" t="s">
        <v>163</v>
      </c>
      <c r="E364" s="379"/>
      <c r="F364" s="379"/>
      <c r="G364" s="380"/>
      <c r="H364" s="381" t="s">
        <v>33</v>
      </c>
      <c r="I364" s="382">
        <f t="shared" ref="I364:J364" ca="1" si="193">I365+I374</f>
        <v>44661</v>
      </c>
      <c r="J364" s="382">
        <f t="shared" ca="1" si="193"/>
        <v>30907</v>
      </c>
      <c r="K364" s="383">
        <f t="shared" ca="1" si="192"/>
        <v>69.203555674973686</v>
      </c>
      <c r="L364" s="384"/>
      <c r="M364" s="384"/>
      <c r="N364" s="384"/>
      <c r="O364" s="384"/>
      <c r="P364" s="775"/>
      <c r="Q364" s="385"/>
      <c r="R364" s="385"/>
      <c r="S364" s="385"/>
      <c r="T364" s="385"/>
      <c r="U364" s="385"/>
      <c r="V364" s="385"/>
      <c r="W364" s="385"/>
      <c r="X364" s="385"/>
      <c r="Y364" s="385"/>
      <c r="Z364" s="385"/>
    </row>
    <row r="365" spans="1:26" ht="20.25" customHeight="1">
      <c r="A365" s="776"/>
      <c r="B365" s="386"/>
      <c r="C365" s="387"/>
      <c r="D365" s="387" t="s">
        <v>164</v>
      </c>
      <c r="E365" s="388"/>
      <c r="F365" s="388"/>
      <c r="G365" s="389"/>
      <c r="H365" s="390" t="s">
        <v>33</v>
      </c>
      <c r="I365" s="391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391">
        <f ca="1">J372</f>
        <v>4857</v>
      </c>
      <c r="K365" s="392">
        <f t="shared" ca="1" si="192"/>
        <v>57.690937165934194</v>
      </c>
      <c r="L365" s="393"/>
      <c r="M365" s="393"/>
      <c r="N365" s="393"/>
      <c r="O365" s="393"/>
      <c r="P365" s="777"/>
      <c r="Q365" s="385"/>
      <c r="R365" s="385"/>
      <c r="S365" s="385"/>
      <c r="T365" s="385"/>
      <c r="U365" s="385"/>
      <c r="V365" s="385"/>
      <c r="W365" s="385"/>
      <c r="X365" s="385"/>
      <c r="Y365" s="385"/>
      <c r="Z365" s="385"/>
    </row>
    <row r="366" spans="1:26" ht="20.25" customHeight="1">
      <c r="A366" s="776"/>
      <c r="B366" s="386"/>
      <c r="C366" s="387"/>
      <c r="D366" s="394" t="s">
        <v>165</v>
      </c>
      <c r="E366" s="388"/>
      <c r="F366" s="388"/>
      <c r="G366" s="389"/>
      <c r="H366" s="395"/>
      <c r="I366" s="396"/>
      <c r="J366" s="396"/>
      <c r="K366" s="393"/>
      <c r="L366" s="393"/>
      <c r="M366" s="393"/>
      <c r="N366" s="393"/>
      <c r="O366" s="393"/>
      <c r="P366" s="777"/>
      <c r="Q366" s="385"/>
      <c r="R366" s="385"/>
      <c r="S366" s="385"/>
      <c r="T366" s="385"/>
      <c r="U366" s="385"/>
      <c r="V366" s="385"/>
      <c r="W366" s="385"/>
      <c r="X366" s="385"/>
      <c r="Y366" s="385"/>
      <c r="Z366" s="385"/>
    </row>
    <row r="367" spans="1:26" ht="20.25" customHeight="1">
      <c r="A367" s="723"/>
      <c r="B367" s="143"/>
      <c r="C367" s="860" t="s">
        <v>14</v>
      </c>
      <c r="D367" s="144" t="s">
        <v>36</v>
      </c>
      <c r="E367" s="145"/>
      <c r="F367" s="145"/>
      <c r="G367" s="146"/>
      <c r="H367" s="147"/>
      <c r="I367" s="307"/>
      <c r="J367" s="307"/>
      <c r="K367" s="400"/>
      <c r="L367" s="148"/>
      <c r="M367" s="148"/>
      <c r="N367" s="148"/>
      <c r="O367" s="148"/>
      <c r="P367" s="724"/>
    </row>
    <row r="368" spans="1:26" ht="20.25" customHeight="1">
      <c r="A368" s="723"/>
      <c r="B368" s="150"/>
      <c r="C368" s="143"/>
      <c r="D368" s="150"/>
      <c r="E368" s="375" t="s">
        <v>159</v>
      </c>
      <c r="F368" s="150"/>
      <c r="G368" s="151"/>
      <c r="H368" s="306" t="s">
        <v>33</v>
      </c>
      <c r="I368" s="307">
        <v>0</v>
      </c>
      <c r="J368" s="307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8254)</f>
        <v>8254</v>
      </c>
      <c r="K368" s="400">
        <f t="shared" ref="K368:K374" si="194">IF(I368&gt;0,J368*100/I368,0)</f>
        <v>0</v>
      </c>
      <c r="L368" s="148"/>
      <c r="M368" s="148"/>
      <c r="N368" s="148"/>
      <c r="O368" s="148"/>
      <c r="P368" s="724"/>
      <c r="S368" s="397"/>
    </row>
    <row r="369" spans="1:26" ht="20.25" customHeight="1">
      <c r="A369" s="723"/>
      <c r="B369" s="150"/>
      <c r="C369" s="143"/>
      <c r="D369" s="150"/>
      <c r="E369" s="150"/>
      <c r="F369" s="150"/>
      <c r="G369" s="151"/>
      <c r="H369" s="306" t="s">
        <v>44</v>
      </c>
      <c r="I369" s="307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307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73290.0699999999)</f>
        <v>73290.069999999905</v>
      </c>
      <c r="K369" s="400">
        <f t="shared" ca="1" si="194"/>
        <v>83.127362021640891</v>
      </c>
      <c r="L369" s="148"/>
      <c r="M369" s="148"/>
      <c r="N369" s="148"/>
      <c r="O369" s="148"/>
      <c r="P369" s="724"/>
      <c r="S369" s="398"/>
    </row>
    <row r="370" spans="1:26" ht="20.25" customHeight="1">
      <c r="A370" s="723"/>
      <c r="B370" s="150"/>
      <c r="C370" s="143"/>
      <c r="D370" s="150"/>
      <c r="E370" s="375" t="s">
        <v>160</v>
      </c>
      <c r="F370" s="150"/>
      <c r="G370" s="151"/>
      <c r="H370" s="312" t="s">
        <v>33</v>
      </c>
      <c r="I370" s="307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307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6401)</f>
        <v>6401</v>
      </c>
      <c r="K370" s="400">
        <f t="shared" ca="1" si="194"/>
        <v>76.030407411806621</v>
      </c>
      <c r="L370" s="148"/>
      <c r="M370" s="148"/>
      <c r="N370" s="148"/>
      <c r="O370" s="148"/>
      <c r="P370" s="724"/>
      <c r="S370" s="398"/>
    </row>
    <row r="371" spans="1:26" ht="20.25" customHeight="1">
      <c r="A371" s="723"/>
      <c r="B371" s="150"/>
      <c r="C371" s="143"/>
      <c r="D371" s="150"/>
      <c r="E371" s="150"/>
      <c r="F371" s="150"/>
      <c r="G371" s="151"/>
      <c r="H371" s="312" t="s">
        <v>44</v>
      </c>
      <c r="I371" s="307">
        <v>0</v>
      </c>
      <c r="J371" s="307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59745.4399999999)</f>
        <v>59745.4399999999</v>
      </c>
      <c r="K371" s="400">
        <f t="shared" si="194"/>
        <v>0</v>
      </c>
      <c r="L371" s="148"/>
      <c r="M371" s="148"/>
      <c r="N371" s="148"/>
      <c r="O371" s="148"/>
      <c r="P371" s="724"/>
      <c r="S371" s="397"/>
    </row>
    <row r="372" spans="1:26" ht="20.25" customHeight="1">
      <c r="A372" s="723"/>
      <c r="B372" s="150"/>
      <c r="C372" s="143"/>
      <c r="D372" s="150"/>
      <c r="E372" s="375" t="s">
        <v>161</v>
      </c>
      <c r="F372" s="150"/>
      <c r="G372" s="151"/>
      <c r="H372" s="312" t="s">
        <v>33</v>
      </c>
      <c r="I372" s="307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307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4857)</f>
        <v>4857</v>
      </c>
      <c r="K372" s="400">
        <f t="shared" ca="1" si="194"/>
        <v>57.690937165934194</v>
      </c>
      <c r="L372" s="148"/>
      <c r="M372" s="148"/>
      <c r="N372" s="148"/>
      <c r="O372" s="148"/>
      <c r="P372" s="724"/>
      <c r="S372" s="398"/>
    </row>
    <row r="373" spans="1:26" ht="20.25" customHeight="1">
      <c r="A373" s="773" t="s">
        <v>162</v>
      </c>
      <c r="B373" s="150"/>
      <c r="C373" s="143"/>
      <c r="D373" s="150"/>
      <c r="E373" s="149"/>
      <c r="F373" s="150"/>
      <c r="G373" s="151"/>
      <c r="H373" s="312" t="s">
        <v>44</v>
      </c>
      <c r="I373" s="307">
        <v>0</v>
      </c>
      <c r="J373" s="307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43332.84)</f>
        <v>43332.84</v>
      </c>
      <c r="K373" s="400">
        <f t="shared" si="194"/>
        <v>0</v>
      </c>
      <c r="L373" s="148"/>
      <c r="M373" s="148"/>
      <c r="N373" s="148"/>
      <c r="O373" s="148"/>
      <c r="P373" s="724"/>
      <c r="S373" s="397"/>
    </row>
    <row r="374" spans="1:26" ht="20.25" customHeight="1">
      <c r="A374" s="776"/>
      <c r="B374" s="386"/>
      <c r="C374" s="387"/>
      <c r="D374" s="387" t="s">
        <v>166</v>
      </c>
      <c r="E374" s="388"/>
      <c r="F374" s="388"/>
      <c r="G374" s="389"/>
      <c r="H374" s="390" t="s">
        <v>33</v>
      </c>
      <c r="I374" s="399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391">
        <f ca="1">J381</f>
        <v>26050</v>
      </c>
      <c r="K374" s="392">
        <f t="shared" ca="1" si="194"/>
        <v>71.877931681474536</v>
      </c>
      <c r="L374" s="393"/>
      <c r="M374" s="393"/>
      <c r="N374" s="393"/>
      <c r="O374" s="393"/>
      <c r="P374" s="777"/>
      <c r="Q374" s="385"/>
      <c r="R374" s="385"/>
      <c r="S374" s="385"/>
      <c r="T374" s="385"/>
      <c r="U374" s="385"/>
      <c r="V374" s="385"/>
      <c r="W374" s="385"/>
      <c r="X374" s="385"/>
      <c r="Y374" s="385"/>
      <c r="Z374" s="385"/>
    </row>
    <row r="375" spans="1:26" ht="20.25" customHeight="1">
      <c r="A375" s="776"/>
      <c r="B375" s="386"/>
      <c r="C375" s="387"/>
      <c r="D375" s="394" t="s">
        <v>167</v>
      </c>
      <c r="E375" s="388"/>
      <c r="F375" s="388"/>
      <c r="G375" s="389"/>
      <c r="H375" s="395"/>
      <c r="I375" s="396"/>
      <c r="J375" s="396"/>
      <c r="K375" s="393"/>
      <c r="L375" s="393"/>
      <c r="M375" s="393"/>
      <c r="N375" s="393"/>
      <c r="O375" s="393"/>
      <c r="P375" s="777"/>
      <c r="Q375" s="385"/>
      <c r="R375" s="385"/>
      <c r="S375" s="385"/>
      <c r="T375" s="385"/>
      <c r="U375" s="385"/>
      <c r="V375" s="385"/>
      <c r="W375" s="385"/>
      <c r="X375" s="385"/>
      <c r="Y375" s="385"/>
      <c r="Z375" s="385"/>
    </row>
    <row r="376" spans="1:26" ht="20.25" customHeight="1">
      <c r="A376" s="723"/>
      <c r="B376" s="143"/>
      <c r="C376" s="860" t="s">
        <v>14</v>
      </c>
      <c r="D376" s="144" t="s">
        <v>36</v>
      </c>
      <c r="E376" s="145"/>
      <c r="F376" s="145"/>
      <c r="G376" s="146"/>
      <c r="H376" s="147"/>
      <c r="I376" s="307"/>
      <c r="J376" s="307"/>
      <c r="K376" s="400"/>
      <c r="L376" s="148"/>
      <c r="M376" s="148"/>
      <c r="N376" s="148"/>
      <c r="O376" s="148"/>
      <c r="P376" s="724"/>
    </row>
    <row r="377" spans="1:26" ht="20.25" customHeight="1">
      <c r="A377" s="723"/>
      <c r="B377" s="150"/>
      <c r="C377" s="143"/>
      <c r="D377" s="150"/>
      <c r="E377" s="375" t="s">
        <v>159</v>
      </c>
      <c r="F377" s="150"/>
      <c r="G377" s="151"/>
      <c r="H377" s="306" t="s">
        <v>33</v>
      </c>
      <c r="I377" s="307">
        <v>0</v>
      </c>
      <c r="J377" s="307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13676)</f>
        <v>13676</v>
      </c>
      <c r="K377" s="400">
        <f t="shared" ref="K377:K382" si="195">IF(I377&gt;0,J377*100/I377,0)</f>
        <v>0</v>
      </c>
      <c r="L377" s="148"/>
      <c r="M377" s="148"/>
      <c r="N377" s="148"/>
      <c r="O377" s="148"/>
      <c r="P377" s="724"/>
    </row>
    <row r="378" spans="1:26" ht="20.25" customHeight="1">
      <c r="A378" s="723"/>
      <c r="B378" s="150"/>
      <c r="C378" s="143"/>
      <c r="D378" s="150"/>
      <c r="E378" s="150"/>
      <c r="F378" s="150"/>
      <c r="G378" s="151"/>
      <c r="H378" s="306" t="s">
        <v>44</v>
      </c>
      <c r="I378" s="307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307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117438.26)</f>
        <v>117438.26</v>
      </c>
      <c r="K378" s="400">
        <f t="shared" ca="1" si="195"/>
        <v>74.413258226195836</v>
      </c>
      <c r="L378" s="148"/>
      <c r="M378" s="148"/>
      <c r="N378" s="148"/>
      <c r="O378" s="148"/>
      <c r="P378" s="724"/>
    </row>
    <row r="379" spans="1:26" ht="20.25" customHeight="1">
      <c r="A379" s="723"/>
      <c r="B379" s="150"/>
      <c r="C379" s="143"/>
      <c r="D379" s="150"/>
      <c r="E379" s="375" t="s">
        <v>160</v>
      </c>
      <c r="F379" s="150"/>
      <c r="G379" s="151"/>
      <c r="H379" s="312" t="s">
        <v>33</v>
      </c>
      <c r="I379" s="307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307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31556)</f>
        <v>31556</v>
      </c>
      <c r="K379" s="400">
        <f t="shared" ca="1" si="195"/>
        <v>87.070249986203848</v>
      </c>
      <c r="L379" s="148"/>
      <c r="M379" s="148"/>
      <c r="N379" s="148"/>
      <c r="O379" s="148"/>
      <c r="P379" s="724"/>
    </row>
    <row r="380" spans="1:26" ht="20.25" customHeight="1">
      <c r="A380" s="723"/>
      <c r="B380" s="150"/>
      <c r="C380" s="143"/>
      <c r="D380" s="150"/>
      <c r="E380" s="150"/>
      <c r="F380" s="150"/>
      <c r="G380" s="151"/>
      <c r="H380" s="312" t="s">
        <v>44</v>
      </c>
      <c r="I380" s="307">
        <v>0</v>
      </c>
      <c r="J380" s="307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359070.29)</f>
        <v>359070.29</v>
      </c>
      <c r="K380" s="400">
        <f t="shared" si="195"/>
        <v>0</v>
      </c>
      <c r="L380" s="148"/>
      <c r="M380" s="148"/>
      <c r="N380" s="148"/>
      <c r="O380" s="148"/>
      <c r="P380" s="724"/>
    </row>
    <row r="381" spans="1:26" ht="20.25" customHeight="1">
      <c r="A381" s="723"/>
      <c r="B381" s="150"/>
      <c r="C381" s="143"/>
      <c r="D381" s="150"/>
      <c r="E381" s="375" t="s">
        <v>161</v>
      </c>
      <c r="F381" s="150"/>
      <c r="G381" s="151"/>
      <c r="H381" s="312" t="s">
        <v>33</v>
      </c>
      <c r="I381" s="307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307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26050)</f>
        <v>26050</v>
      </c>
      <c r="K381" s="400">
        <f t="shared" ca="1" si="195"/>
        <v>71.877931681474536</v>
      </c>
      <c r="L381" s="148"/>
      <c r="M381" s="148"/>
      <c r="N381" s="148"/>
      <c r="O381" s="148"/>
      <c r="P381" s="724"/>
    </row>
    <row r="382" spans="1:26" ht="20.25" customHeight="1">
      <c r="A382" s="773" t="s">
        <v>162</v>
      </c>
      <c r="B382" s="150"/>
      <c r="C382" s="143"/>
      <c r="D382" s="150"/>
      <c r="E382" s="149"/>
      <c r="F382" s="150"/>
      <c r="G382" s="151"/>
      <c r="H382" s="312" t="s">
        <v>44</v>
      </c>
      <c r="I382" s="307">
        <v>0</v>
      </c>
      <c r="J382" s="307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307762.449999999)</f>
        <v>307762.44999999902</v>
      </c>
      <c r="K382" s="400">
        <f t="shared" si="195"/>
        <v>0</v>
      </c>
      <c r="L382" s="148"/>
      <c r="M382" s="148"/>
      <c r="N382" s="148"/>
      <c r="O382" s="148"/>
      <c r="P382" s="724"/>
    </row>
    <row r="383" spans="1:26" ht="20.25" customHeight="1">
      <c r="A383" s="769"/>
      <c r="B383" s="356"/>
      <c r="C383" s="357"/>
      <c r="D383" s="401" t="s">
        <v>168</v>
      </c>
      <c r="E383" s="357"/>
      <c r="F383" s="357"/>
      <c r="G383" s="359"/>
      <c r="H383" s="360"/>
      <c r="I383" s="361"/>
      <c r="J383" s="361"/>
      <c r="K383" s="362"/>
      <c r="L383" s="362"/>
      <c r="M383" s="362"/>
      <c r="N383" s="362"/>
      <c r="O383" s="362"/>
      <c r="P383" s="770"/>
    </row>
    <row r="384" spans="1:26" ht="20.25" customHeight="1">
      <c r="A384" s="723"/>
      <c r="B384" s="143"/>
      <c r="C384" s="860" t="s">
        <v>14</v>
      </c>
      <c r="D384" s="144" t="s">
        <v>36</v>
      </c>
      <c r="E384" s="145"/>
      <c r="F384" s="145"/>
      <c r="G384" s="146"/>
      <c r="H384" s="147"/>
      <c r="I384" s="307"/>
      <c r="J384" s="307"/>
      <c r="K384" s="400"/>
      <c r="L384" s="148"/>
      <c r="M384" s="148"/>
      <c r="N384" s="148"/>
      <c r="O384" s="148"/>
      <c r="P384" s="724"/>
    </row>
    <row r="385" spans="1:26" ht="20.25" customHeight="1">
      <c r="A385" s="758"/>
      <c r="B385" s="321"/>
      <c r="C385" s="320"/>
      <c r="D385" s="321"/>
      <c r="E385" s="402" t="s">
        <v>169</v>
      </c>
      <c r="F385" s="321"/>
      <c r="G385" s="323"/>
      <c r="H385" s="403" t="s">
        <v>33</v>
      </c>
      <c r="I385" s="404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04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1360)</f>
        <v>1360</v>
      </c>
      <c r="K385" s="405">
        <f ca="1">IF(I385&gt;0,J385*100/I385,0)</f>
        <v>45.333333333333336</v>
      </c>
      <c r="L385" s="327"/>
      <c r="M385" s="327"/>
      <c r="N385" s="327"/>
      <c r="O385" s="327"/>
      <c r="P385" s="759"/>
    </row>
    <row r="386" spans="1:26" ht="20.25" customHeight="1">
      <c r="A386" s="778" t="s">
        <v>170</v>
      </c>
      <c r="B386" s="406"/>
      <c r="C386" s="406"/>
      <c r="D386" s="406"/>
      <c r="E386" s="407"/>
      <c r="F386" s="407"/>
      <c r="G386" s="408"/>
      <c r="H386" s="409"/>
      <c r="I386" s="410"/>
      <c r="J386" s="410"/>
      <c r="K386" s="411"/>
      <c r="L386" s="411"/>
      <c r="M386" s="411"/>
      <c r="N386" s="411"/>
      <c r="O386" s="411"/>
      <c r="P386" s="779"/>
    </row>
    <row r="387" spans="1:26" ht="20.25" customHeight="1">
      <c r="A387" s="780" t="s">
        <v>171</v>
      </c>
      <c r="B387" s="412"/>
      <c r="C387" s="412"/>
      <c r="D387" s="413"/>
      <c r="E387" s="412"/>
      <c r="F387" s="412"/>
      <c r="G387" s="412"/>
      <c r="H387" s="414"/>
      <c r="I387" s="415"/>
      <c r="J387" s="415"/>
      <c r="K387" s="416"/>
      <c r="L387" s="416"/>
      <c r="M387" s="416"/>
      <c r="N387" s="416"/>
      <c r="O387" s="416"/>
      <c r="P387" s="781"/>
    </row>
    <row r="388" spans="1:26" ht="20.25" customHeight="1">
      <c r="A388" s="782"/>
      <c r="B388" s="417" t="s">
        <v>172</v>
      </c>
      <c r="C388" s="418"/>
      <c r="D388" s="419"/>
      <c r="E388" s="419"/>
      <c r="F388" s="419"/>
      <c r="G388" s="420"/>
      <c r="H388" s="421" t="s">
        <v>64</v>
      </c>
      <c r="I388" s="422">
        <f t="shared" ref="I388:J388" ca="1" si="196">I400</f>
        <v>0</v>
      </c>
      <c r="J388" s="422">
        <f t="shared" ca="1" si="196"/>
        <v>0</v>
      </c>
      <c r="K388" s="423">
        <f ca="1">IF(I388&gt;0,J388*100/I388,0)</f>
        <v>0</v>
      </c>
      <c r="L388" s="424"/>
      <c r="M388" s="424"/>
      <c r="N388" s="424"/>
      <c r="O388" s="424"/>
      <c r="P388" s="783"/>
    </row>
    <row r="389" spans="1:26" ht="20.25" customHeight="1">
      <c r="A389" s="784"/>
      <c r="B389" s="425"/>
      <c r="C389" s="860" t="s">
        <v>14</v>
      </c>
      <c r="D389" s="426" t="s">
        <v>15</v>
      </c>
      <c r="E389" s="425"/>
      <c r="F389" s="425"/>
      <c r="G389" s="427"/>
      <c r="H389" s="428" t="s">
        <v>12</v>
      </c>
      <c r="I389" s="429"/>
      <c r="J389" s="429"/>
      <c r="K389" s="430"/>
      <c r="L389" s="431">
        <f t="shared" ref="L389:N389" ca="1" si="197">L390+L391</f>
        <v>26000000</v>
      </c>
      <c r="M389" s="431">
        <f t="shared" ca="1" si="197"/>
        <v>26000000</v>
      </c>
      <c r="N389" s="431">
        <f t="shared" ca="1" si="197"/>
        <v>0</v>
      </c>
      <c r="O389" s="431">
        <f t="shared" ref="O389:O397" ca="1" si="198">IF(L389&gt;0,N389*100/L389,0)</f>
        <v>0</v>
      </c>
      <c r="P389" s="785">
        <f t="shared" ref="P389:P397" ca="1" si="199">IF(M389&gt;0,N389*100/M389,0)</f>
        <v>0</v>
      </c>
      <c r="Q389" s="432"/>
      <c r="R389" s="432"/>
      <c r="S389" s="432"/>
      <c r="T389" s="432"/>
      <c r="U389" s="432"/>
      <c r="V389" s="432"/>
      <c r="W389" s="432"/>
      <c r="X389" s="432"/>
      <c r="Y389" s="432"/>
      <c r="Z389" s="432"/>
    </row>
    <row r="390" spans="1:26" ht="20.25" customHeight="1">
      <c r="A390" s="715"/>
      <c r="B390" s="24"/>
      <c r="C390" s="24"/>
      <c r="D390" s="24"/>
      <c r="E390" s="226" t="s">
        <v>16</v>
      </c>
      <c r="F390" s="24"/>
      <c r="G390" s="111"/>
      <c r="H390" s="112" t="s">
        <v>12</v>
      </c>
      <c r="I390" s="216"/>
      <c r="J390" s="216"/>
      <c r="K390" s="63"/>
      <c r="L390" s="63">
        <f t="shared" ref="L390:N390" ca="1" si="200">L393+L396</f>
        <v>0</v>
      </c>
      <c r="M390" s="63">
        <f t="shared" ca="1" si="200"/>
        <v>0</v>
      </c>
      <c r="N390" s="63">
        <f t="shared" ca="1" si="200"/>
        <v>0</v>
      </c>
      <c r="O390" s="63">
        <f t="shared" ca="1" si="198"/>
        <v>0</v>
      </c>
      <c r="P390" s="684">
        <f t="shared" ca="1" si="199"/>
        <v>0</v>
      </c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0.25" customHeight="1">
      <c r="A391" s="715"/>
      <c r="B391" s="24"/>
      <c r="C391" s="24"/>
      <c r="D391" s="24"/>
      <c r="E391" s="226" t="s">
        <v>17</v>
      </c>
      <c r="F391" s="24"/>
      <c r="G391" s="111"/>
      <c r="H391" s="112" t="s">
        <v>12</v>
      </c>
      <c r="I391" s="216"/>
      <c r="J391" s="216"/>
      <c r="K391" s="63"/>
      <c r="L391" s="63">
        <f t="shared" ref="L391:N391" ca="1" si="201">L394+L397</f>
        <v>26000000</v>
      </c>
      <c r="M391" s="63">
        <f t="shared" ca="1" si="201"/>
        <v>26000000</v>
      </c>
      <c r="N391" s="63">
        <f t="shared" ca="1" si="201"/>
        <v>0</v>
      </c>
      <c r="O391" s="63">
        <f t="shared" ca="1" si="198"/>
        <v>0</v>
      </c>
      <c r="P391" s="684">
        <f t="shared" ca="1" si="199"/>
        <v>0</v>
      </c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0.25" customHeight="1">
      <c r="A392" s="716"/>
      <c r="B392" s="19"/>
      <c r="C392" s="113"/>
      <c r="D392" s="20" t="s">
        <v>18</v>
      </c>
      <c r="E392" s="19"/>
      <c r="F392" s="19"/>
      <c r="G392" s="21"/>
      <c r="H392" s="114" t="s">
        <v>12</v>
      </c>
      <c r="I392" s="115"/>
      <c r="J392" s="115"/>
      <c r="K392" s="116"/>
      <c r="L392" s="23">
        <f t="shared" ref="L392:N392" ca="1" si="202">L393+L394</f>
        <v>0</v>
      </c>
      <c r="M392" s="23">
        <f t="shared" ca="1" si="202"/>
        <v>0</v>
      </c>
      <c r="N392" s="23">
        <f t="shared" ca="1" si="202"/>
        <v>0</v>
      </c>
      <c r="O392" s="23">
        <f t="shared" ca="1" si="198"/>
        <v>0</v>
      </c>
      <c r="P392" s="682">
        <f t="shared" ca="1" si="199"/>
        <v>0</v>
      </c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0.25" customHeight="1">
      <c r="A393" s="715"/>
      <c r="B393" s="24"/>
      <c r="C393" s="113"/>
      <c r="D393" s="24"/>
      <c r="E393" s="226" t="s">
        <v>34</v>
      </c>
      <c r="F393" s="24"/>
      <c r="G393" s="111"/>
      <c r="H393" s="623" t="s">
        <v>12</v>
      </c>
      <c r="I393" s="128"/>
      <c r="J393" s="128"/>
      <c r="K393" s="117"/>
      <c r="L393" s="63">
        <f ca="1">IFERROR(__xludf.DUMMYFUNCTION("IMPORTRANGE(""https://docs.google.com/spreadsheets/d/1MeEWN-I1oV_STSDYn1IFDPWt_1FKiwhDph83XaGc0o0/edit?usp=sharing"",""งบพรบ!FG9"")"),0)</f>
        <v>0</v>
      </c>
      <c r="M393" s="63">
        <f ca="1">IFERROR(__xludf.DUMMYFUNCTION("IMPORTRANGE(""https://docs.google.com/spreadsheets/d/1MeEWN-I1oV_STSDYn1IFDPWt_1FKiwhDph83XaGc0o0/edit?usp=sharing"",""งบพรบ!FL9"")"),0)</f>
        <v>0</v>
      </c>
      <c r="N393" s="63">
        <f ca="1">IFERROR(__xludf.DUMMYFUNCTION("IMPORTRANGE(""https://docs.google.com/spreadsheets/d/1MeEWN-I1oV_STSDYn1IFDPWt_1FKiwhDph83XaGc0o0/edit?usp=sharing"",""งบพรบ!FN9"")"),0)</f>
        <v>0</v>
      </c>
      <c r="O393" s="63">
        <f t="shared" ca="1" si="198"/>
        <v>0</v>
      </c>
      <c r="P393" s="684">
        <f t="shared" ca="1" si="199"/>
        <v>0</v>
      </c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0.25" customHeight="1">
      <c r="A394" s="715"/>
      <c r="B394" s="24"/>
      <c r="C394" s="113"/>
      <c r="D394" s="24"/>
      <c r="E394" s="226" t="s">
        <v>35</v>
      </c>
      <c r="F394" s="24"/>
      <c r="G394" s="111"/>
      <c r="H394" s="623" t="s">
        <v>12</v>
      </c>
      <c r="I394" s="128"/>
      <c r="J394" s="128"/>
      <c r="K394" s="117"/>
      <c r="L394" s="63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63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63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63">
        <f t="shared" ca="1" si="198"/>
        <v>0</v>
      </c>
      <c r="P394" s="684">
        <f t="shared" ca="1" si="199"/>
        <v>0</v>
      </c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0.25" customHeight="1">
      <c r="A395" s="716"/>
      <c r="B395" s="19"/>
      <c r="C395" s="113"/>
      <c r="D395" s="20" t="s">
        <v>19</v>
      </c>
      <c r="E395" s="19"/>
      <c r="F395" s="19"/>
      <c r="G395" s="21"/>
      <c r="H395" s="118" t="s">
        <v>12</v>
      </c>
      <c r="I395" s="115"/>
      <c r="J395" s="115"/>
      <c r="K395" s="116"/>
      <c r="L395" s="23">
        <f t="shared" ref="L395:N395" ca="1" si="203">L396+L397</f>
        <v>26000000</v>
      </c>
      <c r="M395" s="23">
        <f t="shared" ca="1" si="203"/>
        <v>26000000</v>
      </c>
      <c r="N395" s="23">
        <f t="shared" ca="1" si="203"/>
        <v>0</v>
      </c>
      <c r="O395" s="23">
        <f t="shared" ca="1" si="198"/>
        <v>0</v>
      </c>
      <c r="P395" s="682">
        <f t="shared" ca="1" si="199"/>
        <v>0</v>
      </c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0.25" customHeight="1">
      <c r="A396" s="715"/>
      <c r="B396" s="24"/>
      <c r="C396" s="113"/>
      <c r="D396" s="24"/>
      <c r="E396" s="226" t="s">
        <v>16</v>
      </c>
      <c r="F396" s="24"/>
      <c r="G396" s="111"/>
      <c r="H396" s="623" t="s">
        <v>12</v>
      </c>
      <c r="I396" s="128"/>
      <c r="J396" s="128"/>
      <c r="K396" s="117"/>
      <c r="L396" s="63">
        <f ca="1">IFERROR(__xludf.DUMMYFUNCTION("IMPORTRANGE(""https://docs.google.com/spreadsheets/d/1MeEWN-I1oV_STSDYn1IFDPWt_1FKiwhDph83XaGc0o0/edit?usp=sharing"",""งบพรบ!FJ9"")"),0)</f>
        <v>0</v>
      </c>
      <c r="M396" s="63">
        <f ca="1">IFERROR(__xludf.DUMMYFUNCTION("IMPORTRANGE(""https://docs.google.com/spreadsheets/d/1MeEWN-I1oV_STSDYn1IFDPWt_1FKiwhDph83XaGc0o0/edit?usp=sharing"",""งบพรบ!FM9"")"),0)</f>
        <v>0</v>
      </c>
      <c r="N396" s="63">
        <f ca="1">IFERROR(__xludf.DUMMYFUNCTION("IMPORTRANGE(""https://docs.google.com/spreadsheets/d/1MeEWN-I1oV_STSDYn1IFDPWt_1FKiwhDph83XaGc0o0/edit?usp=sharing"",""งบพรบ!FO9"")"),0)</f>
        <v>0</v>
      </c>
      <c r="O396" s="63">
        <f t="shared" ca="1" si="198"/>
        <v>0</v>
      </c>
      <c r="P396" s="684">
        <f t="shared" ca="1" si="199"/>
        <v>0</v>
      </c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0.25" customHeight="1">
      <c r="A397" s="715"/>
      <c r="B397" s="24"/>
      <c r="C397" s="113"/>
      <c r="D397" s="24"/>
      <c r="E397" s="226" t="s">
        <v>17</v>
      </c>
      <c r="F397" s="24"/>
      <c r="G397" s="111"/>
      <c r="H397" s="119" t="s">
        <v>12</v>
      </c>
      <c r="I397" s="128"/>
      <c r="J397" s="128"/>
      <c r="K397" s="117"/>
      <c r="L397" s="63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63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63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63">
        <f t="shared" ca="1" si="198"/>
        <v>0</v>
      </c>
      <c r="P397" s="684">
        <f t="shared" ca="1" si="199"/>
        <v>0</v>
      </c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0.25" customHeight="1">
      <c r="A398" s="717"/>
      <c r="B398" s="120"/>
      <c r="C398" s="860" t="s">
        <v>14</v>
      </c>
      <c r="D398" s="121" t="s">
        <v>36</v>
      </c>
      <c r="E398" s="122"/>
      <c r="F398" s="122"/>
      <c r="G398" s="123"/>
      <c r="H398" s="599"/>
      <c r="I398" s="128"/>
      <c r="J398" s="216"/>
      <c r="K398" s="63"/>
      <c r="L398" s="63"/>
      <c r="M398" s="63"/>
      <c r="N398" s="63"/>
      <c r="O398" s="117"/>
      <c r="P398" s="718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786"/>
      <c r="B399" s="103"/>
      <c r="C399" s="433"/>
      <c r="D399" s="434" t="s">
        <v>173</v>
      </c>
      <c r="E399" s="435"/>
      <c r="F399" s="103"/>
      <c r="G399" s="106"/>
      <c r="H399" s="436" t="s">
        <v>9</v>
      </c>
      <c r="I399" s="216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4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63">
        <f t="shared" ref="K399:K401" ca="1" si="204">IF(I399&gt;0,J399*100/I399,0)</f>
        <v>0</v>
      </c>
      <c r="L399" s="437"/>
      <c r="M399" s="437"/>
      <c r="N399" s="437"/>
      <c r="O399" s="437"/>
      <c r="P399" s="787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0.25" customHeight="1">
      <c r="A400" s="738"/>
      <c r="B400" s="24"/>
      <c r="C400" s="225"/>
      <c r="D400" s="347" t="s">
        <v>174</v>
      </c>
      <c r="E400" s="120"/>
      <c r="F400" s="24"/>
      <c r="G400" s="25"/>
      <c r="H400" s="221" t="s">
        <v>64</v>
      </c>
      <c r="I400" s="216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4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63">
        <f t="shared" ca="1" si="204"/>
        <v>0</v>
      </c>
      <c r="L400" s="63"/>
      <c r="M400" s="63"/>
      <c r="N400" s="63"/>
      <c r="O400" s="63"/>
      <c r="P400" s="68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788"/>
      <c r="B401" s="438" t="s">
        <v>175</v>
      </c>
      <c r="C401" s="439"/>
      <c r="D401" s="440"/>
      <c r="E401" s="440"/>
      <c r="F401" s="440"/>
      <c r="G401" s="441"/>
      <c r="H401" s="442" t="s">
        <v>64</v>
      </c>
      <c r="I401" s="443">
        <f t="shared" ref="I401:J401" ca="1" si="205">I412</f>
        <v>15</v>
      </c>
      <c r="J401" s="443">
        <f t="shared" ca="1" si="205"/>
        <v>13</v>
      </c>
      <c r="K401" s="444">
        <f t="shared" ca="1" si="204"/>
        <v>86.666666666666671</v>
      </c>
      <c r="L401" s="445"/>
      <c r="M401" s="445"/>
      <c r="N401" s="445"/>
      <c r="O401" s="445"/>
      <c r="P401" s="789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713"/>
      <c r="B402" s="103"/>
      <c r="C402" s="860" t="s">
        <v>14</v>
      </c>
      <c r="D402" s="105" t="s">
        <v>15</v>
      </c>
      <c r="E402" s="103"/>
      <c r="F402" s="103"/>
      <c r="G402" s="106"/>
      <c r="H402" s="107" t="s">
        <v>12</v>
      </c>
      <c r="I402" s="108"/>
      <c r="J402" s="108"/>
      <c r="K402" s="109"/>
      <c r="L402" s="110">
        <f t="shared" ref="L402:N402" ca="1" si="206">L403+L404</f>
        <v>34000000</v>
      </c>
      <c r="M402" s="110">
        <f t="shared" ca="1" si="206"/>
        <v>34000000</v>
      </c>
      <c r="N402" s="110">
        <f t="shared" ca="1" si="206"/>
        <v>26478744</v>
      </c>
      <c r="O402" s="110">
        <f t="shared" ref="O402:O410" ca="1" si="207">IF(L402&gt;0,N402*100/L402,0)</f>
        <v>77.878658823529406</v>
      </c>
      <c r="P402" s="714">
        <f t="shared" ref="P402:P410" ca="1" si="208">IF(M402&gt;0,N402*100/M402,0)</f>
        <v>77.878658823529406</v>
      </c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0.25" customHeight="1">
      <c r="A403" s="715"/>
      <c r="B403" s="24"/>
      <c r="C403" s="24"/>
      <c r="D403" s="24"/>
      <c r="E403" s="226" t="s">
        <v>16</v>
      </c>
      <c r="F403" s="24"/>
      <c r="G403" s="111"/>
      <c r="H403" s="112" t="s">
        <v>12</v>
      </c>
      <c r="I403" s="216"/>
      <c r="J403" s="216"/>
      <c r="K403" s="63"/>
      <c r="L403" s="63">
        <f t="shared" ref="L403:N403" ca="1" si="209">L406+L409</f>
        <v>0</v>
      </c>
      <c r="M403" s="63">
        <f t="shared" ca="1" si="209"/>
        <v>0</v>
      </c>
      <c r="N403" s="63">
        <f t="shared" ca="1" si="209"/>
        <v>0</v>
      </c>
      <c r="O403" s="63">
        <f t="shared" ca="1" si="207"/>
        <v>0</v>
      </c>
      <c r="P403" s="684">
        <f t="shared" ca="1" si="208"/>
        <v>0</v>
      </c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0.25" customHeight="1">
      <c r="A404" s="715"/>
      <c r="B404" s="24"/>
      <c r="C404" s="24"/>
      <c r="D404" s="24"/>
      <c r="E404" s="226" t="s">
        <v>17</v>
      </c>
      <c r="F404" s="24"/>
      <c r="G404" s="111"/>
      <c r="H404" s="112" t="s">
        <v>12</v>
      </c>
      <c r="I404" s="216"/>
      <c r="J404" s="216"/>
      <c r="K404" s="63"/>
      <c r="L404" s="63">
        <f t="shared" ref="L404:N404" ca="1" si="210">L407+L410</f>
        <v>34000000</v>
      </c>
      <c r="M404" s="63">
        <f t="shared" ca="1" si="210"/>
        <v>34000000</v>
      </c>
      <c r="N404" s="63">
        <f t="shared" ca="1" si="210"/>
        <v>26478744</v>
      </c>
      <c r="O404" s="63">
        <f t="shared" ca="1" si="207"/>
        <v>77.878658823529406</v>
      </c>
      <c r="P404" s="684">
        <f t="shared" ca="1" si="208"/>
        <v>77.878658823529406</v>
      </c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0.25" customHeight="1">
      <c r="A405" s="716"/>
      <c r="B405" s="19"/>
      <c r="C405" s="113"/>
      <c r="D405" s="20" t="s">
        <v>18</v>
      </c>
      <c r="E405" s="19"/>
      <c r="F405" s="19"/>
      <c r="G405" s="21"/>
      <c r="H405" s="114" t="s">
        <v>12</v>
      </c>
      <c r="I405" s="115"/>
      <c r="J405" s="115"/>
      <c r="K405" s="116"/>
      <c r="L405" s="23">
        <f t="shared" ref="L405:N405" ca="1" si="211">L406+L407</f>
        <v>0</v>
      </c>
      <c r="M405" s="23">
        <f t="shared" ca="1" si="211"/>
        <v>0</v>
      </c>
      <c r="N405" s="23">
        <f t="shared" ca="1" si="211"/>
        <v>0</v>
      </c>
      <c r="O405" s="23">
        <f t="shared" ca="1" si="207"/>
        <v>0</v>
      </c>
      <c r="P405" s="682">
        <f t="shared" ca="1" si="208"/>
        <v>0</v>
      </c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0.25" customHeight="1">
      <c r="A406" s="715"/>
      <c r="B406" s="24"/>
      <c r="C406" s="113"/>
      <c r="D406" s="24"/>
      <c r="E406" s="226" t="s">
        <v>34</v>
      </c>
      <c r="F406" s="24"/>
      <c r="G406" s="111"/>
      <c r="H406" s="623" t="s">
        <v>12</v>
      </c>
      <c r="I406" s="128"/>
      <c r="J406" s="128"/>
      <c r="K406" s="117"/>
      <c r="L406" s="63">
        <f ca="1">IFERROR(__xludf.DUMMYFUNCTION("IMPORTRANGE(""https://docs.google.com/spreadsheets/d/1MeEWN-I1oV_STSDYn1IFDPWt_1FKiwhDph83XaGc0o0/edit?usp=sharing"",""งบพรบ!FQ9"")"),0)</f>
        <v>0</v>
      </c>
      <c r="M406" s="63">
        <f ca="1">IFERROR(__xludf.DUMMYFUNCTION("IMPORTRANGE(""https://docs.google.com/spreadsheets/d/1MeEWN-I1oV_STSDYn1IFDPWt_1FKiwhDph83XaGc0o0/edit?usp=sharing"",""งบพรบ!FV9"")"),0)</f>
        <v>0</v>
      </c>
      <c r="N406" s="63">
        <f ca="1">IFERROR(__xludf.DUMMYFUNCTION("IMPORTRANGE(""https://docs.google.com/spreadsheets/d/1MeEWN-I1oV_STSDYn1IFDPWt_1FKiwhDph83XaGc0o0/edit?usp=sharing"",""งบพรบ!FX9"")"),0)</f>
        <v>0</v>
      </c>
      <c r="O406" s="63">
        <f t="shared" ca="1" si="207"/>
        <v>0</v>
      </c>
      <c r="P406" s="684">
        <f t="shared" ca="1" si="208"/>
        <v>0</v>
      </c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0.25" customHeight="1">
      <c r="A407" s="715"/>
      <c r="B407" s="24"/>
      <c r="C407" s="113"/>
      <c r="D407" s="24"/>
      <c r="E407" s="226" t="s">
        <v>35</v>
      </c>
      <c r="F407" s="24"/>
      <c r="G407" s="111"/>
      <c r="H407" s="623" t="s">
        <v>12</v>
      </c>
      <c r="I407" s="128"/>
      <c r="J407" s="128"/>
      <c r="K407" s="117"/>
      <c r="L407" s="63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63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63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63">
        <f t="shared" ca="1" si="207"/>
        <v>0</v>
      </c>
      <c r="P407" s="684">
        <f t="shared" ca="1" si="208"/>
        <v>0</v>
      </c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0.25" customHeight="1">
      <c r="A408" s="716"/>
      <c r="B408" s="19"/>
      <c r="C408" s="113"/>
      <c r="D408" s="20" t="s">
        <v>19</v>
      </c>
      <c r="E408" s="19"/>
      <c r="F408" s="19"/>
      <c r="G408" s="21"/>
      <c r="H408" s="118" t="s">
        <v>12</v>
      </c>
      <c r="I408" s="115"/>
      <c r="J408" s="115"/>
      <c r="K408" s="116"/>
      <c r="L408" s="23">
        <f t="shared" ref="L408:N408" ca="1" si="212">L409+L410</f>
        <v>34000000</v>
      </c>
      <c r="M408" s="23">
        <f t="shared" ca="1" si="212"/>
        <v>34000000</v>
      </c>
      <c r="N408" s="23">
        <f t="shared" ca="1" si="212"/>
        <v>26478744</v>
      </c>
      <c r="O408" s="23">
        <f t="shared" ca="1" si="207"/>
        <v>77.878658823529406</v>
      </c>
      <c r="P408" s="682">
        <f t="shared" ca="1" si="208"/>
        <v>77.878658823529406</v>
      </c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0.25" customHeight="1">
      <c r="A409" s="715"/>
      <c r="B409" s="24"/>
      <c r="C409" s="113"/>
      <c r="D409" s="24"/>
      <c r="E409" s="226" t="s">
        <v>16</v>
      </c>
      <c r="F409" s="24"/>
      <c r="G409" s="111"/>
      <c r="H409" s="623" t="s">
        <v>12</v>
      </c>
      <c r="I409" s="128"/>
      <c r="J409" s="128"/>
      <c r="K409" s="117"/>
      <c r="L409" s="63">
        <f ca="1">IFERROR(__xludf.DUMMYFUNCTION("IMPORTRANGE(""https://docs.google.com/spreadsheets/d/1MeEWN-I1oV_STSDYn1IFDPWt_1FKiwhDph83XaGc0o0/edit?usp=sharing"",""งบพรบ!FT9"")"),0)</f>
        <v>0</v>
      </c>
      <c r="M409" s="63">
        <f ca="1">IFERROR(__xludf.DUMMYFUNCTION("IMPORTRANGE(""https://docs.google.com/spreadsheets/d/1MeEWN-I1oV_STSDYn1IFDPWt_1FKiwhDph83XaGc0o0/edit?usp=sharing"",""งบพรบ!FW9"")"),0)</f>
        <v>0</v>
      </c>
      <c r="N409" s="63">
        <f ca="1">IFERROR(__xludf.DUMMYFUNCTION("IMPORTRANGE(""https://docs.google.com/spreadsheets/d/1MeEWN-I1oV_STSDYn1IFDPWt_1FKiwhDph83XaGc0o0/edit?usp=sharing"",""งบพรบ!FY9"")"),0)</f>
        <v>0</v>
      </c>
      <c r="O409" s="63">
        <f t="shared" ca="1" si="207"/>
        <v>0</v>
      </c>
      <c r="P409" s="684">
        <f t="shared" ca="1" si="208"/>
        <v>0</v>
      </c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0.25" customHeight="1">
      <c r="A410" s="715"/>
      <c r="B410" s="24"/>
      <c r="C410" s="113"/>
      <c r="D410" s="24"/>
      <c r="E410" s="226" t="s">
        <v>17</v>
      </c>
      <c r="F410" s="24"/>
      <c r="G410" s="111"/>
      <c r="H410" s="119" t="s">
        <v>12</v>
      </c>
      <c r="I410" s="128"/>
      <c r="J410" s="128"/>
      <c r="K410" s="117"/>
      <c r="L410" s="63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63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63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26478744)</f>
        <v>26478744</v>
      </c>
      <c r="O410" s="63">
        <f t="shared" ca="1" si="207"/>
        <v>77.878658823529406</v>
      </c>
      <c r="P410" s="684">
        <f t="shared" ca="1" si="208"/>
        <v>77.878658823529406</v>
      </c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0.25" customHeight="1">
      <c r="A411" s="717"/>
      <c r="B411" s="120"/>
      <c r="C411" s="860" t="s">
        <v>14</v>
      </c>
      <c r="D411" s="790" t="s">
        <v>36</v>
      </c>
      <c r="E411" s="791"/>
      <c r="F411" s="791"/>
      <c r="G411" s="446"/>
      <c r="H411" s="599"/>
      <c r="I411" s="216"/>
      <c r="J411" s="216"/>
      <c r="K411" s="63"/>
      <c r="L411" s="117"/>
      <c r="M411" s="117"/>
      <c r="N411" s="117"/>
      <c r="O411" s="117"/>
      <c r="P411" s="718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717"/>
      <c r="B412" s="125"/>
      <c r="C412" s="125"/>
      <c r="D412" s="347" t="s">
        <v>176</v>
      </c>
      <c r="E412" s="125"/>
      <c r="F412" s="125"/>
      <c r="G412" s="126"/>
      <c r="H412" s="447" t="s">
        <v>64</v>
      </c>
      <c r="I412" s="216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4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13)</f>
        <v>13</v>
      </c>
      <c r="K412" s="63">
        <f t="shared" ref="K412:K413" ca="1" si="213">IF(I412&gt;0,J412*100/I412,0)</f>
        <v>86.666666666666671</v>
      </c>
      <c r="L412" s="117"/>
      <c r="M412" s="117"/>
      <c r="N412" s="117"/>
      <c r="O412" s="117"/>
      <c r="P412" s="718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792"/>
      <c r="B413" s="448"/>
      <c r="C413" s="448"/>
      <c r="D413" s="449" t="s">
        <v>177</v>
      </c>
      <c r="E413" s="448"/>
      <c r="F413" s="448"/>
      <c r="G413" s="450"/>
      <c r="H413" s="451" t="s">
        <v>178</v>
      </c>
      <c r="I413" s="452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53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660431)</f>
        <v>660431</v>
      </c>
      <c r="K413" s="454">
        <f t="shared" ca="1" si="213"/>
        <v>82.989570243779838</v>
      </c>
      <c r="L413" s="455"/>
      <c r="M413" s="455"/>
      <c r="N413" s="455"/>
      <c r="O413" s="455"/>
      <c r="P413" s="793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794" t="s">
        <v>179</v>
      </c>
      <c r="B414" s="456"/>
      <c r="C414" s="456"/>
      <c r="D414" s="456"/>
      <c r="E414" s="456"/>
      <c r="F414" s="456"/>
      <c r="G414" s="457"/>
      <c r="H414" s="458"/>
      <c r="I414" s="459"/>
      <c r="J414" s="459"/>
      <c r="K414" s="460"/>
      <c r="L414" s="461">
        <f t="shared" ref="L414:N414" ca="1" si="214">L419+L444+L467+L502+L523+L544+L629+L655+L685+L737+L754+L770+L786+L805</f>
        <v>194260360</v>
      </c>
      <c r="M414" s="461">
        <f t="shared" ca="1" si="214"/>
        <v>194260360</v>
      </c>
      <c r="N414" s="461">
        <f t="shared" ca="1" si="214"/>
        <v>115596397.8199999</v>
      </c>
      <c r="O414" s="461">
        <f ca="1">IF(L414&gt;0,N414*100/L414,0)</f>
        <v>59.505911458209951</v>
      </c>
      <c r="P414" s="795">
        <f ca="1">IF(M414&gt;0,N414*100/M414,0)</f>
        <v>59.505911458209951</v>
      </c>
    </row>
    <row r="415" spans="1:26" ht="20.25" customHeight="1">
      <c r="A415" s="796" t="s">
        <v>180</v>
      </c>
      <c r="B415" s="462"/>
      <c r="C415" s="462"/>
      <c r="D415" s="462"/>
      <c r="E415" s="462"/>
      <c r="F415" s="462"/>
      <c r="G415" s="462"/>
      <c r="H415" s="463"/>
      <c r="I415" s="464"/>
      <c r="J415" s="464"/>
      <c r="K415" s="465"/>
      <c r="L415" s="466"/>
      <c r="M415" s="466"/>
      <c r="N415" s="466"/>
      <c r="O415" s="466"/>
      <c r="P415" s="797"/>
    </row>
    <row r="416" spans="1:26" ht="20.25" customHeight="1">
      <c r="A416" s="796" t="s">
        <v>181</v>
      </c>
      <c r="B416" s="462"/>
      <c r="C416" s="462"/>
      <c r="D416" s="462"/>
      <c r="E416" s="462"/>
      <c r="F416" s="462"/>
      <c r="G416" s="467"/>
      <c r="H416" s="468"/>
      <c r="I416" s="469"/>
      <c r="J416" s="469"/>
      <c r="K416" s="466"/>
      <c r="L416" s="466"/>
      <c r="M416" s="466"/>
      <c r="N416" s="466"/>
      <c r="O416" s="466"/>
      <c r="P416" s="797"/>
    </row>
    <row r="417" spans="1:26" ht="20.25" customHeight="1">
      <c r="A417" s="798">
        <v>1</v>
      </c>
      <c r="B417" s="471" t="s">
        <v>182</v>
      </c>
      <c r="C417" s="471"/>
      <c r="D417" s="472"/>
      <c r="E417" s="472"/>
      <c r="F417" s="472"/>
      <c r="G417" s="473"/>
      <c r="H417" s="474" t="s">
        <v>33</v>
      </c>
      <c r="I417" s="475">
        <f t="shared" ref="I417:J417" ca="1" si="215">I433</f>
        <v>2000</v>
      </c>
      <c r="J417" s="475">
        <f t="shared" ca="1" si="215"/>
        <v>1945</v>
      </c>
      <c r="K417" s="476">
        <f t="shared" ref="K417:K418" ca="1" si="216">IF(I417&gt;0,J417*100/I417,0)</f>
        <v>97.25</v>
      </c>
      <c r="L417" s="477"/>
      <c r="M417" s="477"/>
      <c r="N417" s="477"/>
      <c r="O417" s="477"/>
      <c r="P417" s="799"/>
    </row>
    <row r="418" spans="1:26" ht="20.25" customHeight="1">
      <c r="A418" s="800"/>
      <c r="B418" s="470"/>
      <c r="C418" s="471"/>
      <c r="D418" s="472"/>
      <c r="E418" s="472"/>
      <c r="F418" s="472"/>
      <c r="G418" s="473"/>
      <c r="H418" s="474" t="s">
        <v>47</v>
      </c>
      <c r="I418" s="475">
        <f t="shared" ref="I418:J418" ca="1" si="217">I434</f>
        <v>88</v>
      </c>
      <c r="J418" s="475">
        <f t="shared" ca="1" si="217"/>
        <v>87</v>
      </c>
      <c r="K418" s="476">
        <f t="shared" ca="1" si="216"/>
        <v>98.86363636363636</v>
      </c>
      <c r="L418" s="477"/>
      <c r="M418" s="477"/>
      <c r="N418" s="477"/>
      <c r="O418" s="477"/>
      <c r="P418" s="799"/>
    </row>
    <row r="419" spans="1:26" ht="20.25" customHeight="1">
      <c r="A419" s="713"/>
      <c r="B419" s="103"/>
      <c r="C419" s="860" t="s">
        <v>14</v>
      </c>
      <c r="D419" s="867" t="s">
        <v>15</v>
      </c>
      <c r="E419" s="864"/>
      <c r="F419" s="864"/>
      <c r="G419" s="106"/>
      <c r="H419" s="219" t="s">
        <v>12</v>
      </c>
      <c r="I419" s="108"/>
      <c r="J419" s="108"/>
      <c r="K419" s="109"/>
      <c r="L419" s="110">
        <f t="shared" ref="L419:N419" ca="1" si="218">L420+L421</f>
        <v>8993000</v>
      </c>
      <c r="M419" s="110">
        <f t="shared" ca="1" si="218"/>
        <v>8993000</v>
      </c>
      <c r="N419" s="110">
        <f t="shared" ca="1" si="218"/>
        <v>6893573.1200000001</v>
      </c>
      <c r="O419" s="110">
        <f t="shared" ref="O419:O424" ca="1" si="219">IF(L419&gt;0,N419*100/L419,0)</f>
        <v>76.654877349049258</v>
      </c>
      <c r="P419" s="714">
        <f t="shared" ref="P419:P424" ca="1" si="220">IF(M419&gt;0,N419*100/M419,0)</f>
        <v>76.654877349049258</v>
      </c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0.25" customHeight="1">
      <c r="A420" s="715"/>
      <c r="B420" s="24"/>
      <c r="C420" s="24"/>
      <c r="D420" s="125"/>
      <c r="E420" s="226" t="s">
        <v>183</v>
      </c>
      <c r="F420" s="24"/>
      <c r="G420" s="111"/>
      <c r="H420" s="623" t="s">
        <v>12</v>
      </c>
      <c r="I420" s="216"/>
      <c r="J420" s="216"/>
      <c r="K420" s="63"/>
      <c r="L420" s="63">
        <f t="shared" ref="L420:N420" ca="1" si="221">L423+L430</f>
        <v>1305780</v>
      </c>
      <c r="M420" s="63">
        <f t="shared" ca="1" si="221"/>
        <v>1340095</v>
      </c>
      <c r="N420" s="63">
        <f t="shared" ca="1" si="221"/>
        <v>292016.58</v>
      </c>
      <c r="O420" s="63">
        <f t="shared" ca="1" si="219"/>
        <v>22.363382805679365</v>
      </c>
      <c r="P420" s="684">
        <f t="shared" ca="1" si="220"/>
        <v>21.790737223853533</v>
      </c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0.25" customHeight="1">
      <c r="A421" s="715"/>
      <c r="B421" s="24"/>
      <c r="C421" s="24"/>
      <c r="D421" s="125"/>
      <c r="E421" s="226" t="s">
        <v>184</v>
      </c>
      <c r="F421" s="24"/>
      <c r="G421" s="111"/>
      <c r="H421" s="623" t="s">
        <v>12</v>
      </c>
      <c r="I421" s="216"/>
      <c r="J421" s="216"/>
      <c r="K421" s="63"/>
      <c r="L421" s="63">
        <f t="shared" ref="L421:N421" ca="1" si="222">L424+L431</f>
        <v>7687220</v>
      </c>
      <c r="M421" s="63">
        <f t="shared" ca="1" si="222"/>
        <v>7652905</v>
      </c>
      <c r="N421" s="63">
        <f t="shared" ca="1" si="222"/>
        <v>6601556.54</v>
      </c>
      <c r="O421" s="63">
        <f t="shared" ca="1" si="219"/>
        <v>85.877034090347351</v>
      </c>
      <c r="P421" s="684">
        <f t="shared" ca="1" si="220"/>
        <v>86.26209968632827</v>
      </c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0.25" customHeight="1">
      <c r="A422" s="716"/>
      <c r="B422" s="478"/>
      <c r="C422" s="19"/>
      <c r="D422" s="20" t="s">
        <v>18</v>
      </c>
      <c r="E422" s="19"/>
      <c r="F422" s="19"/>
      <c r="G422" s="21"/>
      <c r="H422" s="114" t="s">
        <v>12</v>
      </c>
      <c r="I422" s="115"/>
      <c r="J422" s="115"/>
      <c r="K422" s="116"/>
      <c r="L422" s="23">
        <f t="shared" ref="L422:N422" ca="1" si="223">L423+L424</f>
        <v>8993000</v>
      </c>
      <c r="M422" s="23">
        <f t="shared" ca="1" si="223"/>
        <v>8993000</v>
      </c>
      <c r="N422" s="23">
        <f t="shared" ca="1" si="223"/>
        <v>6893573.1200000001</v>
      </c>
      <c r="O422" s="23">
        <f t="shared" ca="1" si="219"/>
        <v>76.654877349049258</v>
      </c>
      <c r="P422" s="682">
        <f t="shared" ca="1" si="220"/>
        <v>76.654877349049258</v>
      </c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0.25" customHeight="1">
      <c r="A423" s="715"/>
      <c r="B423" s="24"/>
      <c r="C423" s="24"/>
      <c r="D423" s="125"/>
      <c r="E423" s="226" t="s">
        <v>183</v>
      </c>
      <c r="F423" s="24"/>
      <c r="G423" s="111"/>
      <c r="H423" s="623" t="s">
        <v>12</v>
      </c>
      <c r="I423" s="216"/>
      <c r="J423" s="216"/>
      <c r="K423" s="63"/>
      <c r="L423" s="63">
        <f ca="1">IFERROR(__xludf.DUMMYFUNCTION("IMPORTRANGE(""https://docs.google.com/spreadsheets/d/1QqKyyYR6Q21VydFLVH3TRQUabQu_ym0Zz7PgGX0-kHA/edit?usp=sharing"",""แผน!EY11"")"),1305780)</f>
        <v>1305780</v>
      </c>
      <c r="M423" s="63">
        <f ca="1">L423+34315</f>
        <v>1340095</v>
      </c>
      <c r="N423" s="63">
        <f ca="1">IFERROR(__xludf.DUMMYFUNCTION("IMPORTRANGE(""https://docs.google.com/spreadsheets/d/1WhzDrMlrZfqSjGYJh0xYjRtGVhp5LiCqlO7EaAHfOOk/edit?usp=sharing"",""sheet1!I6"")"),292016.58)</f>
        <v>292016.58</v>
      </c>
      <c r="O423" s="63">
        <f t="shared" ca="1" si="219"/>
        <v>22.363382805679365</v>
      </c>
      <c r="P423" s="684">
        <f t="shared" ca="1" si="220"/>
        <v>21.790737223853533</v>
      </c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0.25" customHeight="1">
      <c r="A424" s="715"/>
      <c r="B424" s="24"/>
      <c r="C424" s="24"/>
      <c r="D424" s="125"/>
      <c r="E424" s="226" t="s">
        <v>184</v>
      </c>
      <c r="F424" s="24"/>
      <c r="G424" s="111"/>
      <c r="H424" s="623" t="s">
        <v>12</v>
      </c>
      <c r="I424" s="216"/>
      <c r="J424" s="216"/>
      <c r="K424" s="63"/>
      <c r="L424" s="63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63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63">
        <f ca="1">N425+N426+N427+N428</f>
        <v>6601556.54</v>
      </c>
      <c r="O424" s="63">
        <f t="shared" ca="1" si="219"/>
        <v>85.877034090347351</v>
      </c>
      <c r="P424" s="684">
        <f t="shared" ca="1" si="220"/>
        <v>86.26209968632827</v>
      </c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0.25" customHeight="1">
      <c r="A425" s="801"/>
      <c r="B425" s="504"/>
      <c r="C425" s="600"/>
      <c r="D425" s="600"/>
      <c r="E425" s="600"/>
      <c r="F425" s="600" t="s">
        <v>185</v>
      </c>
      <c r="G425" s="479"/>
      <c r="H425" s="623" t="s">
        <v>12</v>
      </c>
      <c r="I425" s="216"/>
      <c r="J425" s="216"/>
      <c r="K425" s="63"/>
      <c r="L425" s="63"/>
      <c r="M425" s="63"/>
      <c r="N425" s="227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4712994.25)</f>
        <v>4712994.25</v>
      </c>
      <c r="O425" s="63"/>
      <c r="P425" s="684"/>
      <c r="Q425" s="480"/>
      <c r="R425" s="480"/>
      <c r="S425" s="480"/>
      <c r="T425" s="480"/>
      <c r="U425" s="480"/>
      <c r="V425" s="480"/>
      <c r="W425" s="480"/>
      <c r="X425" s="480"/>
      <c r="Y425" s="480"/>
      <c r="Z425" s="480"/>
    </row>
    <row r="426" spans="1:26" ht="20.25" customHeight="1">
      <c r="A426" s="801"/>
      <c r="B426" s="504"/>
      <c r="C426" s="600"/>
      <c r="D426" s="600"/>
      <c r="E426" s="600"/>
      <c r="F426" s="600" t="s">
        <v>186</v>
      </c>
      <c r="G426" s="479"/>
      <c r="H426" s="623" t="s">
        <v>12</v>
      </c>
      <c r="I426" s="216"/>
      <c r="J426" s="216"/>
      <c r="K426" s="63"/>
      <c r="L426" s="63"/>
      <c r="M426" s="63"/>
      <c r="N426" s="227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49852)</f>
        <v>49852</v>
      </c>
      <c r="O426" s="63"/>
      <c r="P426" s="684"/>
      <c r="Q426" s="480"/>
      <c r="R426" s="480"/>
      <c r="S426" s="480"/>
      <c r="T426" s="480"/>
      <c r="U426" s="480"/>
      <c r="V426" s="480"/>
      <c r="W426" s="480"/>
      <c r="X426" s="480"/>
      <c r="Y426" s="480"/>
      <c r="Z426" s="480"/>
    </row>
    <row r="427" spans="1:26" ht="20.25" customHeight="1">
      <c r="A427" s="801"/>
      <c r="B427" s="504"/>
      <c r="C427" s="600"/>
      <c r="D427" s="600"/>
      <c r="E427" s="600"/>
      <c r="F427" s="600" t="s">
        <v>187</v>
      </c>
      <c r="G427" s="479"/>
      <c r="H427" s="623" t="s">
        <v>12</v>
      </c>
      <c r="I427" s="216"/>
      <c r="J427" s="216"/>
      <c r="K427" s="63"/>
      <c r="L427" s="63"/>
      <c r="M427" s="63"/>
      <c r="N427" s="227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63"/>
      <c r="P427" s="684"/>
      <c r="Q427" s="480"/>
      <c r="R427" s="480"/>
      <c r="S427" s="480"/>
      <c r="T427" s="480"/>
      <c r="U427" s="480"/>
      <c r="V427" s="480"/>
      <c r="W427" s="480"/>
      <c r="X427" s="480"/>
      <c r="Y427" s="480"/>
      <c r="Z427" s="480"/>
    </row>
    <row r="428" spans="1:26" ht="20.25" customHeight="1">
      <c r="A428" s="738"/>
      <c r="B428" s="225"/>
      <c r="C428" s="24"/>
      <c r="D428" s="24"/>
      <c r="E428" s="24"/>
      <c r="F428" s="226" t="s">
        <v>188</v>
      </c>
      <c r="G428" s="111"/>
      <c r="H428" s="623" t="s">
        <v>12</v>
      </c>
      <c r="I428" s="216"/>
      <c r="J428" s="216"/>
      <c r="K428" s="63"/>
      <c r="L428" s="63"/>
      <c r="M428" s="63"/>
      <c r="N428" s="227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1838710.29)</f>
        <v>1838710.29</v>
      </c>
      <c r="O428" s="63"/>
      <c r="P428" s="684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0.25" customHeight="1">
      <c r="A429" s="716"/>
      <c r="B429" s="478"/>
      <c r="C429" s="19"/>
      <c r="D429" s="20" t="s">
        <v>19</v>
      </c>
      <c r="E429" s="19"/>
      <c r="F429" s="19"/>
      <c r="G429" s="21"/>
      <c r="H429" s="118" t="s">
        <v>12</v>
      </c>
      <c r="I429" s="115"/>
      <c r="J429" s="115"/>
      <c r="K429" s="116"/>
      <c r="L429" s="23">
        <f t="shared" ref="L429:N429" ca="1" si="224">L430+L431</f>
        <v>0</v>
      </c>
      <c r="M429" s="23">
        <f t="shared" si="224"/>
        <v>0</v>
      </c>
      <c r="N429" s="23">
        <f t="shared" ca="1" si="224"/>
        <v>0</v>
      </c>
      <c r="O429" s="23">
        <f t="shared" ref="O429:O431" ca="1" si="225">IF(L429&gt;0,N429*100/L429,0)</f>
        <v>0</v>
      </c>
      <c r="P429" s="682">
        <f t="shared" ref="P429:P431" si="226">IF(M429&gt;0,N429*100/M429,0)</f>
        <v>0</v>
      </c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0.25" customHeight="1">
      <c r="A430" s="715"/>
      <c r="B430" s="225"/>
      <c r="C430" s="24"/>
      <c r="D430" s="24"/>
      <c r="E430" s="226" t="s">
        <v>16</v>
      </c>
      <c r="F430" s="24"/>
      <c r="G430" s="25"/>
      <c r="H430" s="623" t="s">
        <v>12</v>
      </c>
      <c r="I430" s="128"/>
      <c r="J430" s="128"/>
      <c r="K430" s="117"/>
      <c r="L430" s="63">
        <v>0</v>
      </c>
      <c r="M430" s="63">
        <v>0</v>
      </c>
      <c r="N430" s="63">
        <f ca="1">IFERROR(__xludf.DUMMYFUNCTION("IMPORTRANGE(""https://docs.google.com/spreadsheets/d/1WhzDrMlrZfqSjGYJh0xYjRtGVhp5LiCqlO7EaAHfOOk/edit?usp=sharing"",""sheet1!K6"")"),0)</f>
        <v>0</v>
      </c>
      <c r="O430" s="63">
        <f t="shared" si="225"/>
        <v>0</v>
      </c>
      <c r="P430" s="684">
        <f t="shared" si="226"/>
        <v>0</v>
      </c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0.25" customHeight="1">
      <c r="A431" s="715"/>
      <c r="B431" s="225"/>
      <c r="C431" s="24"/>
      <c r="D431" s="24"/>
      <c r="E431" s="226" t="s">
        <v>17</v>
      </c>
      <c r="F431" s="24"/>
      <c r="G431" s="25"/>
      <c r="H431" s="119" t="s">
        <v>12</v>
      </c>
      <c r="I431" s="128"/>
      <c r="J431" s="128"/>
      <c r="K431" s="117"/>
      <c r="L431" s="63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63">
        <v>0</v>
      </c>
      <c r="N431" s="63">
        <v>0</v>
      </c>
      <c r="O431" s="63">
        <f t="shared" ca="1" si="225"/>
        <v>0</v>
      </c>
      <c r="P431" s="684">
        <f t="shared" si="226"/>
        <v>0</v>
      </c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0.25" customHeight="1">
      <c r="A432" s="802"/>
      <c r="B432" s="435"/>
      <c r="C432" s="860" t="s">
        <v>14</v>
      </c>
      <c r="D432" s="481" t="s">
        <v>36</v>
      </c>
      <c r="E432" s="482"/>
      <c r="F432" s="482"/>
      <c r="G432" s="483"/>
      <c r="H432" s="484"/>
      <c r="I432" s="108"/>
      <c r="J432" s="108"/>
      <c r="K432" s="109"/>
      <c r="L432" s="109"/>
      <c r="M432" s="109"/>
      <c r="N432" s="109"/>
      <c r="O432" s="109"/>
      <c r="P432" s="803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0.25" customHeight="1">
      <c r="A433" s="717"/>
      <c r="B433" s="120"/>
      <c r="C433" s="120"/>
      <c r="D433" s="485" t="s">
        <v>189</v>
      </c>
      <c r="E433" s="125"/>
      <c r="F433" s="125"/>
      <c r="G433" s="126"/>
      <c r="H433" s="22" t="s">
        <v>33</v>
      </c>
      <c r="I433" s="526">
        <f ca="1">I435</f>
        <v>2000</v>
      </c>
      <c r="J433" s="526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1945)</f>
        <v>1945</v>
      </c>
      <c r="K433" s="23">
        <f t="shared" ref="K433:K435" ca="1" si="227">IF(I433&gt;0,J433*100/I433,0)</f>
        <v>97.25</v>
      </c>
      <c r="L433" s="63"/>
      <c r="M433" s="63"/>
      <c r="N433" s="63"/>
      <c r="O433" s="63"/>
      <c r="P433" s="684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0.25" customHeight="1">
      <c r="A434" s="717"/>
      <c r="B434" s="120"/>
      <c r="C434" s="120"/>
      <c r="D434" s="485" t="s">
        <v>190</v>
      </c>
      <c r="E434" s="125"/>
      <c r="F434" s="125"/>
      <c r="G434" s="126"/>
      <c r="H434" s="22" t="s">
        <v>47</v>
      </c>
      <c r="I434" s="526">
        <f t="shared" ref="I434:J434" ca="1" si="228">I438+I440</f>
        <v>88</v>
      </c>
      <c r="J434" s="526">
        <f t="shared" ca="1" si="228"/>
        <v>87</v>
      </c>
      <c r="K434" s="23">
        <f t="shared" ca="1" si="227"/>
        <v>98.86363636363636</v>
      </c>
      <c r="L434" s="63"/>
      <c r="M434" s="63"/>
      <c r="N434" s="63"/>
      <c r="O434" s="63"/>
      <c r="P434" s="684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0.25" customHeight="1">
      <c r="A435" s="717"/>
      <c r="B435" s="120"/>
      <c r="C435" s="120"/>
      <c r="D435" s="347" t="s">
        <v>191</v>
      </c>
      <c r="E435" s="125"/>
      <c r="F435" s="125"/>
      <c r="G435" s="126"/>
      <c r="H435" s="228" t="s">
        <v>33</v>
      </c>
      <c r="I435" s="486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87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63">
        <f t="shared" ca="1" si="227"/>
        <v>100.05</v>
      </c>
      <c r="L435" s="63"/>
      <c r="M435" s="63"/>
      <c r="N435" s="63"/>
      <c r="O435" s="63"/>
      <c r="P435" s="684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0.25" customHeight="1">
      <c r="A436" s="717"/>
      <c r="B436" s="120"/>
      <c r="C436" s="120"/>
      <c r="D436" s="347" t="s">
        <v>192</v>
      </c>
      <c r="E436" s="125"/>
      <c r="F436" s="125"/>
      <c r="G436" s="126"/>
      <c r="H436" s="228"/>
      <c r="I436" s="216"/>
      <c r="J436" s="216"/>
      <c r="K436" s="63"/>
      <c r="L436" s="63"/>
      <c r="M436" s="63"/>
      <c r="N436" s="63"/>
      <c r="O436" s="63"/>
      <c r="P436" s="684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0.25" customHeight="1">
      <c r="A437" s="717"/>
      <c r="B437" s="120"/>
      <c r="C437" s="120"/>
      <c r="D437" s="347" t="s">
        <v>193</v>
      </c>
      <c r="E437" s="125"/>
      <c r="F437" s="125"/>
      <c r="G437" s="126"/>
      <c r="H437" s="228" t="s">
        <v>33</v>
      </c>
      <c r="I437" s="486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87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63">
        <f t="shared" ref="K437:K443" ca="1" si="229">IF(I437&gt;0,J437*100/I437,0)</f>
        <v>102.5</v>
      </c>
      <c r="L437" s="63"/>
      <c r="M437" s="63"/>
      <c r="N437" s="63"/>
      <c r="O437" s="63"/>
      <c r="P437" s="684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0.25" customHeight="1">
      <c r="A438" s="717"/>
      <c r="B438" s="120"/>
      <c r="C438" s="120"/>
      <c r="D438" s="347" t="s">
        <v>194</v>
      </c>
      <c r="E438" s="125"/>
      <c r="F438" s="125"/>
      <c r="G438" s="126"/>
      <c r="H438" s="228" t="s">
        <v>47</v>
      </c>
      <c r="I438" s="216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4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63">
        <f t="shared" ca="1" si="229"/>
        <v>100</v>
      </c>
      <c r="L438" s="63"/>
      <c r="M438" s="63"/>
      <c r="N438" s="63"/>
      <c r="O438" s="63"/>
      <c r="P438" s="684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0.25" customHeight="1">
      <c r="A439" s="717"/>
      <c r="B439" s="120"/>
      <c r="C439" s="120"/>
      <c r="D439" s="347" t="s">
        <v>195</v>
      </c>
      <c r="E439" s="125"/>
      <c r="F439" s="125"/>
      <c r="G439" s="126"/>
      <c r="H439" s="228" t="s">
        <v>33</v>
      </c>
      <c r="I439" s="486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87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1396)</f>
        <v>1396</v>
      </c>
      <c r="K439" s="63">
        <f t="shared" ca="1" si="229"/>
        <v>99.714285714285708</v>
      </c>
      <c r="L439" s="63"/>
      <c r="M439" s="63"/>
      <c r="N439" s="63"/>
      <c r="O439" s="63"/>
      <c r="P439" s="684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0.25" customHeight="1">
      <c r="A440" s="717"/>
      <c r="B440" s="120"/>
      <c r="C440" s="120"/>
      <c r="D440" s="347" t="s">
        <v>196</v>
      </c>
      <c r="E440" s="125"/>
      <c r="F440" s="125"/>
      <c r="G440" s="126"/>
      <c r="H440" s="228" t="s">
        <v>47</v>
      </c>
      <c r="I440" s="216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4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72)</f>
        <v>72</v>
      </c>
      <c r="K440" s="63">
        <f t="shared" ca="1" si="229"/>
        <v>98.630136986301366</v>
      </c>
      <c r="L440" s="63"/>
      <c r="M440" s="63"/>
      <c r="N440" s="63"/>
      <c r="O440" s="63"/>
      <c r="P440" s="684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0.25" customHeight="1">
      <c r="A441" s="717"/>
      <c r="B441" s="120"/>
      <c r="C441" s="120"/>
      <c r="D441" s="347" t="s">
        <v>197</v>
      </c>
      <c r="E441" s="125"/>
      <c r="F441" s="125"/>
      <c r="G441" s="126"/>
      <c r="H441" s="228" t="s">
        <v>33</v>
      </c>
      <c r="I441" s="216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16">
        <v>0</v>
      </c>
      <c r="K441" s="63">
        <f t="shared" ca="1" si="229"/>
        <v>0</v>
      </c>
      <c r="L441" s="63"/>
      <c r="M441" s="63"/>
      <c r="N441" s="63"/>
      <c r="O441" s="63"/>
      <c r="P441" s="684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0.25" customHeight="1">
      <c r="A442" s="804">
        <v>2</v>
      </c>
      <c r="B442" s="488" t="s">
        <v>198</v>
      </c>
      <c r="C442" s="489"/>
      <c r="D442" s="489"/>
      <c r="E442" s="489"/>
      <c r="F442" s="489"/>
      <c r="G442" s="490"/>
      <c r="H442" s="522" t="s">
        <v>33</v>
      </c>
      <c r="I442" s="491">
        <f t="shared" ref="I442:J442" ca="1" si="230">I460</f>
        <v>2800</v>
      </c>
      <c r="J442" s="491">
        <f t="shared" ca="1" si="230"/>
        <v>2800</v>
      </c>
      <c r="K442" s="492">
        <f t="shared" ca="1" si="229"/>
        <v>100</v>
      </c>
      <c r="L442" s="493"/>
      <c r="M442" s="493"/>
      <c r="N442" s="493"/>
      <c r="O442" s="493"/>
      <c r="P442" s="805"/>
      <c r="Q442" s="480"/>
      <c r="R442" s="480"/>
      <c r="S442" s="480"/>
      <c r="T442" s="480"/>
      <c r="U442" s="480"/>
      <c r="V442" s="480"/>
      <c r="W442" s="480"/>
      <c r="X442" s="480"/>
      <c r="Y442" s="480"/>
      <c r="Z442" s="480"/>
    </row>
    <row r="443" spans="1:26" ht="20.25" customHeight="1">
      <c r="A443" s="806"/>
      <c r="B443" s="523"/>
      <c r="C443" s="494"/>
      <c r="D443" s="494"/>
      <c r="E443" s="494"/>
      <c r="F443" s="494"/>
      <c r="G443" s="495"/>
      <c r="H443" s="524" t="s">
        <v>44</v>
      </c>
      <c r="I443" s="496">
        <f t="shared" ref="I443:J443" ca="1" si="231">I462</f>
        <v>8480</v>
      </c>
      <c r="J443" s="496">
        <f t="shared" ca="1" si="231"/>
        <v>8420</v>
      </c>
      <c r="K443" s="497">
        <f t="shared" ca="1" si="229"/>
        <v>99.29245283018868</v>
      </c>
      <c r="L443" s="498"/>
      <c r="M443" s="498"/>
      <c r="N443" s="498"/>
      <c r="O443" s="498"/>
      <c r="P443" s="807"/>
      <c r="Q443" s="480"/>
      <c r="R443" s="480"/>
      <c r="S443" s="480"/>
      <c r="T443" s="480"/>
      <c r="U443" s="480"/>
      <c r="V443" s="480"/>
      <c r="W443" s="480"/>
      <c r="X443" s="480"/>
      <c r="Y443" s="480"/>
      <c r="Z443" s="480"/>
    </row>
    <row r="444" spans="1:26" ht="20.25" customHeight="1">
      <c r="A444" s="808"/>
      <c r="B444" s="600"/>
      <c r="C444" s="860" t="s">
        <v>14</v>
      </c>
      <c r="D444" s="861" t="s">
        <v>15</v>
      </c>
      <c r="E444" s="862"/>
      <c r="F444" s="862"/>
      <c r="G444" s="479"/>
      <c r="H444" s="114" t="s">
        <v>12</v>
      </c>
      <c r="I444" s="216"/>
      <c r="J444" s="216"/>
      <c r="K444" s="63"/>
      <c r="L444" s="23">
        <f t="shared" ref="L444:N444" ca="1" si="232">L445+L446</f>
        <v>22445100</v>
      </c>
      <c r="M444" s="23">
        <f t="shared" ca="1" si="232"/>
        <v>22445100</v>
      </c>
      <c r="N444" s="23">
        <f t="shared" ca="1" si="232"/>
        <v>15222771.059999991</v>
      </c>
      <c r="O444" s="23">
        <f t="shared" ref="O444:O449" ca="1" si="233">IF(L444&gt;0,N444*100/L444,0)</f>
        <v>67.822246548244337</v>
      </c>
      <c r="P444" s="682">
        <f t="shared" ref="P444:P449" ca="1" si="234">IF(M444&gt;0,N444*100/M444,0)</f>
        <v>67.822246548244337</v>
      </c>
      <c r="Q444" s="480"/>
      <c r="R444" s="480"/>
      <c r="S444" s="480"/>
      <c r="T444" s="480"/>
      <c r="U444" s="480"/>
      <c r="V444" s="480"/>
      <c r="W444" s="480"/>
      <c r="X444" s="480"/>
      <c r="Y444" s="480"/>
      <c r="Z444" s="480"/>
    </row>
    <row r="445" spans="1:26" ht="20.25" customHeight="1">
      <c r="A445" s="808"/>
      <c r="B445" s="600"/>
      <c r="C445" s="600"/>
      <c r="D445" s="574"/>
      <c r="E445" s="600" t="s">
        <v>183</v>
      </c>
      <c r="F445" s="600"/>
      <c r="G445" s="479"/>
      <c r="H445" s="623" t="s">
        <v>12</v>
      </c>
      <c r="I445" s="216"/>
      <c r="J445" s="216"/>
      <c r="K445" s="63"/>
      <c r="L445" s="63">
        <f t="shared" ref="L445:N445" ca="1" si="235">L448+L455</f>
        <v>2453220</v>
      </c>
      <c r="M445" s="63">
        <f t="shared" ca="1" si="235"/>
        <v>2486472</v>
      </c>
      <c r="N445" s="63">
        <f t="shared" ca="1" si="235"/>
        <v>494910.71</v>
      </c>
      <c r="O445" s="63">
        <f t="shared" ca="1" si="233"/>
        <v>20.173922844261828</v>
      </c>
      <c r="P445" s="684">
        <f t="shared" ca="1" si="234"/>
        <v>19.904133647996037</v>
      </c>
      <c r="Q445" s="480"/>
      <c r="R445" s="480"/>
      <c r="S445" s="480"/>
      <c r="T445" s="480"/>
      <c r="U445" s="480"/>
      <c r="V445" s="480"/>
      <c r="W445" s="480"/>
      <c r="X445" s="480"/>
      <c r="Y445" s="480"/>
      <c r="Z445" s="480"/>
    </row>
    <row r="446" spans="1:26" ht="20.25" customHeight="1">
      <c r="A446" s="808"/>
      <c r="B446" s="504"/>
      <c r="C446" s="600"/>
      <c r="D446" s="574"/>
      <c r="E446" s="600" t="s">
        <v>184</v>
      </c>
      <c r="F446" s="600"/>
      <c r="G446" s="479"/>
      <c r="H446" s="623" t="s">
        <v>12</v>
      </c>
      <c r="I446" s="216"/>
      <c r="J446" s="216"/>
      <c r="K446" s="63"/>
      <c r="L446" s="63">
        <f t="shared" ref="L446:N446" ca="1" si="236">L449+L456</f>
        <v>19991880</v>
      </c>
      <c r="M446" s="63">
        <f t="shared" ca="1" si="236"/>
        <v>19958628</v>
      </c>
      <c r="N446" s="63">
        <f t="shared" ca="1" si="236"/>
        <v>14727860.34999999</v>
      </c>
      <c r="O446" s="63">
        <f t="shared" ca="1" si="233"/>
        <v>73.669211449848589</v>
      </c>
      <c r="P446" s="684">
        <f t="shared" ca="1" si="234"/>
        <v>73.791947773163514</v>
      </c>
      <c r="Q446" s="480"/>
      <c r="R446" s="480"/>
      <c r="S446" s="480"/>
      <c r="T446" s="480"/>
      <c r="U446" s="480"/>
      <c r="V446" s="480"/>
      <c r="W446" s="480"/>
      <c r="X446" s="480"/>
      <c r="Y446" s="480"/>
      <c r="Z446" s="480"/>
    </row>
    <row r="447" spans="1:26" ht="20.25" customHeight="1">
      <c r="A447" s="809"/>
      <c r="B447" s="499"/>
      <c r="C447" s="500"/>
      <c r="D447" s="501" t="s">
        <v>18</v>
      </c>
      <c r="E447" s="500"/>
      <c r="F447" s="500"/>
      <c r="G447" s="502"/>
      <c r="H447" s="114" t="s">
        <v>12</v>
      </c>
      <c r="I447" s="115"/>
      <c r="J447" s="115"/>
      <c r="K447" s="116"/>
      <c r="L447" s="23">
        <f t="shared" ref="L447:N447" ca="1" si="237">L448+L449</f>
        <v>22445100</v>
      </c>
      <c r="M447" s="23">
        <f t="shared" ca="1" si="237"/>
        <v>22445100</v>
      </c>
      <c r="N447" s="23">
        <f t="shared" ca="1" si="237"/>
        <v>15222771.059999991</v>
      </c>
      <c r="O447" s="23">
        <f t="shared" ca="1" si="233"/>
        <v>67.822246548244337</v>
      </c>
      <c r="P447" s="682">
        <f t="shared" ca="1" si="234"/>
        <v>67.822246548244337</v>
      </c>
      <c r="Q447" s="503"/>
      <c r="R447" s="503"/>
      <c r="S447" s="503"/>
      <c r="T447" s="503"/>
      <c r="U447" s="503"/>
      <c r="V447" s="503"/>
      <c r="W447" s="503"/>
      <c r="X447" s="503"/>
      <c r="Y447" s="503"/>
      <c r="Z447" s="503"/>
    </row>
    <row r="448" spans="1:26" ht="20.25" customHeight="1">
      <c r="A448" s="808"/>
      <c r="B448" s="504"/>
      <c r="C448" s="600"/>
      <c r="D448" s="574"/>
      <c r="E448" s="600" t="s">
        <v>183</v>
      </c>
      <c r="F448" s="600"/>
      <c r="G448" s="479"/>
      <c r="H448" s="623" t="s">
        <v>12</v>
      </c>
      <c r="I448" s="216"/>
      <c r="J448" s="216"/>
      <c r="K448" s="63"/>
      <c r="L448" s="63">
        <f ca="1">IFERROR(__xludf.DUMMYFUNCTION("IMPORTRANGE(""https://docs.google.com/spreadsheets/d/1QqKyyYR6Q21VydFLVH3TRQUabQu_ym0Zz7PgGX0-kHA/edit?usp=sharing"",""แผน!FJ11"")"),2453220)</f>
        <v>2453220</v>
      </c>
      <c r="M448" s="63">
        <f ca="1">L448+33252</f>
        <v>2486472</v>
      </c>
      <c r="N448" s="63">
        <f ca="1">IFERROR(__xludf.DUMMYFUNCTION("IMPORTRANGE(""https://docs.google.com/spreadsheets/d/1WhzDrMlrZfqSjGYJh0xYjRtGVhp5LiCqlO7EaAHfOOk/edit?usp=sharing"",""sheet1!P6"")"),494910.71)</f>
        <v>494910.71</v>
      </c>
      <c r="O448" s="63">
        <f t="shared" ca="1" si="233"/>
        <v>20.173922844261828</v>
      </c>
      <c r="P448" s="684">
        <f t="shared" ca="1" si="234"/>
        <v>19.904133647996037</v>
      </c>
      <c r="Q448" s="480"/>
      <c r="R448" s="480"/>
      <c r="S448" s="480"/>
      <c r="T448" s="480"/>
      <c r="U448" s="480"/>
      <c r="V448" s="480"/>
      <c r="W448" s="480"/>
      <c r="X448" s="480"/>
      <c r="Y448" s="480"/>
      <c r="Z448" s="480"/>
    </row>
    <row r="449" spans="1:26" ht="20.25" customHeight="1">
      <c r="A449" s="808"/>
      <c r="B449" s="504"/>
      <c r="C449" s="600"/>
      <c r="D449" s="574"/>
      <c r="E449" s="600" t="s">
        <v>184</v>
      </c>
      <c r="F449" s="600"/>
      <c r="G449" s="479"/>
      <c r="H449" s="623" t="s">
        <v>12</v>
      </c>
      <c r="I449" s="216"/>
      <c r="J449" s="216"/>
      <c r="K449" s="63"/>
      <c r="L449" s="63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63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63">
        <f ca="1">N450+N451+N452+N453</f>
        <v>14727860.34999999</v>
      </c>
      <c r="O449" s="63">
        <f t="shared" ca="1" si="233"/>
        <v>73.669211449848589</v>
      </c>
      <c r="P449" s="684">
        <f t="shared" ca="1" si="234"/>
        <v>73.791947773163514</v>
      </c>
      <c r="Q449" s="480"/>
      <c r="R449" s="480"/>
      <c r="S449" s="480"/>
      <c r="T449" s="480"/>
      <c r="U449" s="480"/>
      <c r="V449" s="480"/>
      <c r="W449" s="480"/>
      <c r="X449" s="480"/>
      <c r="Y449" s="480"/>
      <c r="Z449" s="480"/>
    </row>
    <row r="450" spans="1:26" ht="20.25" customHeight="1">
      <c r="A450" s="801"/>
      <c r="B450" s="504"/>
      <c r="C450" s="600"/>
      <c r="D450" s="600"/>
      <c r="E450" s="600"/>
      <c r="F450" s="600" t="s">
        <v>185</v>
      </c>
      <c r="G450" s="479"/>
      <c r="H450" s="623" t="s">
        <v>12</v>
      </c>
      <c r="I450" s="216"/>
      <c r="J450" s="216"/>
      <c r="K450" s="63"/>
      <c r="L450" s="63"/>
      <c r="M450" s="63"/>
      <c r="N450" s="227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3805095.6)</f>
        <v>3805095.6</v>
      </c>
      <c r="O450" s="63"/>
      <c r="P450" s="684"/>
      <c r="Q450" s="480"/>
      <c r="R450" s="480"/>
      <c r="S450" s="480"/>
      <c r="T450" s="480"/>
      <c r="U450" s="480"/>
      <c r="V450" s="480"/>
      <c r="W450" s="480"/>
      <c r="X450" s="480"/>
      <c r="Y450" s="480"/>
      <c r="Z450" s="480"/>
    </row>
    <row r="451" spans="1:26" ht="20.25" customHeight="1">
      <c r="A451" s="801"/>
      <c r="B451" s="504"/>
      <c r="C451" s="600"/>
      <c r="D451" s="600"/>
      <c r="E451" s="600"/>
      <c r="F451" s="600" t="s">
        <v>186</v>
      </c>
      <c r="G451" s="479"/>
      <c r="H451" s="623" t="s">
        <v>12</v>
      </c>
      <c r="I451" s="216"/>
      <c r="J451" s="216"/>
      <c r="K451" s="63"/>
      <c r="L451" s="63"/>
      <c r="M451" s="63"/>
      <c r="N451" s="227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5616628)</f>
        <v>5616628</v>
      </c>
      <c r="O451" s="63"/>
      <c r="P451" s="684"/>
      <c r="Q451" s="480"/>
      <c r="R451" s="480"/>
      <c r="S451" s="480"/>
      <c r="T451" s="480"/>
      <c r="U451" s="480"/>
      <c r="V451" s="480"/>
      <c r="W451" s="480"/>
      <c r="X451" s="480"/>
      <c r="Y451" s="480"/>
      <c r="Z451" s="480"/>
    </row>
    <row r="452" spans="1:26" ht="20.25" customHeight="1">
      <c r="A452" s="801"/>
      <c r="B452" s="504"/>
      <c r="C452" s="504"/>
      <c r="D452" s="504"/>
      <c r="E452" s="504"/>
      <c r="F452" s="600" t="s">
        <v>187</v>
      </c>
      <c r="G452" s="479"/>
      <c r="H452" s="623" t="s">
        <v>12</v>
      </c>
      <c r="I452" s="216"/>
      <c r="J452" s="216"/>
      <c r="K452" s="63"/>
      <c r="L452" s="63"/>
      <c r="M452" s="63"/>
      <c r="N452" s="227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3514508.26999999)</f>
        <v>3514508.2699999898</v>
      </c>
      <c r="O452" s="63"/>
      <c r="P452" s="684"/>
      <c r="Q452" s="480"/>
      <c r="R452" s="480"/>
      <c r="S452" s="480"/>
      <c r="T452" s="480"/>
      <c r="U452" s="480"/>
      <c r="V452" s="480"/>
      <c r="W452" s="480"/>
      <c r="X452" s="480"/>
      <c r="Y452" s="480"/>
      <c r="Z452" s="480"/>
    </row>
    <row r="453" spans="1:26" ht="20.25" customHeight="1">
      <c r="A453" s="801"/>
      <c r="B453" s="504"/>
      <c r="C453" s="504"/>
      <c r="D453" s="504"/>
      <c r="E453" s="504"/>
      <c r="F453" s="600" t="s">
        <v>188</v>
      </c>
      <c r="G453" s="479"/>
      <c r="H453" s="623" t="s">
        <v>12</v>
      </c>
      <c r="I453" s="216"/>
      <c r="J453" s="216"/>
      <c r="K453" s="63"/>
      <c r="L453" s="63"/>
      <c r="M453" s="63"/>
      <c r="N453" s="227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1791628.48)</f>
        <v>1791628.48</v>
      </c>
      <c r="O453" s="63"/>
      <c r="P453" s="684"/>
      <c r="Q453" s="480"/>
      <c r="R453" s="480"/>
      <c r="S453" s="480"/>
      <c r="T453" s="480"/>
      <c r="U453" s="480"/>
      <c r="V453" s="480"/>
      <c r="W453" s="480"/>
      <c r="X453" s="480"/>
      <c r="Y453" s="480"/>
      <c r="Z453" s="480"/>
    </row>
    <row r="454" spans="1:26" ht="20.25" customHeight="1">
      <c r="A454" s="809"/>
      <c r="B454" s="499"/>
      <c r="C454" s="499"/>
      <c r="D454" s="501" t="s">
        <v>19</v>
      </c>
      <c r="E454" s="499"/>
      <c r="F454" s="500"/>
      <c r="G454" s="502"/>
      <c r="H454" s="118" t="s">
        <v>12</v>
      </c>
      <c r="I454" s="115"/>
      <c r="J454" s="115"/>
      <c r="K454" s="116"/>
      <c r="L454" s="23">
        <f t="shared" ref="L454:N454" ca="1" si="238">L455+L456</f>
        <v>0</v>
      </c>
      <c r="M454" s="23">
        <f t="shared" si="238"/>
        <v>0</v>
      </c>
      <c r="N454" s="23">
        <f t="shared" ca="1" si="238"/>
        <v>0</v>
      </c>
      <c r="O454" s="23">
        <f t="shared" ref="O454:O456" ca="1" si="239">IF(L454&gt;0,N454*100/L454,0)</f>
        <v>0</v>
      </c>
      <c r="P454" s="682">
        <f t="shared" ref="P454:P456" si="240">IF(M454&gt;0,N454*100/M454,0)</f>
        <v>0</v>
      </c>
      <c r="Q454" s="503"/>
      <c r="R454" s="503"/>
      <c r="S454" s="503"/>
      <c r="T454" s="503"/>
      <c r="U454" s="503"/>
      <c r="V454" s="503"/>
      <c r="W454" s="503"/>
      <c r="X454" s="503"/>
      <c r="Y454" s="503"/>
      <c r="Z454" s="503"/>
    </row>
    <row r="455" spans="1:26" ht="20.25" customHeight="1">
      <c r="A455" s="808"/>
      <c r="B455" s="504"/>
      <c r="C455" s="504"/>
      <c r="D455" s="504"/>
      <c r="E455" s="504" t="s">
        <v>16</v>
      </c>
      <c r="F455" s="600"/>
      <c r="G455" s="479"/>
      <c r="H455" s="623" t="s">
        <v>12</v>
      </c>
      <c r="I455" s="128"/>
      <c r="J455" s="128"/>
      <c r="K455" s="117"/>
      <c r="L455" s="63">
        <v>0</v>
      </c>
      <c r="M455" s="63">
        <v>0</v>
      </c>
      <c r="N455" s="63">
        <f ca="1">IFERROR(__xludf.DUMMYFUNCTION("IMPORTRANGE(""https://docs.google.com/spreadsheets/d/1WhzDrMlrZfqSjGYJh0xYjRtGVhp5LiCqlO7EaAHfOOk/edit?usp=sharing"",""sheet1!R6"")"),0)</f>
        <v>0</v>
      </c>
      <c r="O455" s="63">
        <f t="shared" si="239"/>
        <v>0</v>
      </c>
      <c r="P455" s="684">
        <f t="shared" si="240"/>
        <v>0</v>
      </c>
      <c r="Q455" s="480"/>
      <c r="R455" s="480"/>
      <c r="S455" s="480"/>
      <c r="T455" s="480"/>
      <c r="U455" s="480"/>
      <c r="V455" s="480"/>
      <c r="W455" s="480"/>
      <c r="X455" s="480"/>
      <c r="Y455" s="480"/>
      <c r="Z455" s="480"/>
    </row>
    <row r="456" spans="1:26" ht="20.25" customHeight="1">
      <c r="A456" s="808"/>
      <c r="B456" s="504"/>
      <c r="C456" s="504"/>
      <c r="D456" s="504"/>
      <c r="E456" s="504" t="s">
        <v>17</v>
      </c>
      <c r="F456" s="600"/>
      <c r="G456" s="479"/>
      <c r="H456" s="119" t="s">
        <v>12</v>
      </c>
      <c r="I456" s="128"/>
      <c r="J456" s="128"/>
      <c r="K456" s="117"/>
      <c r="L456" s="63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63">
        <v>0</v>
      </c>
      <c r="N456" s="63">
        <v>0</v>
      </c>
      <c r="O456" s="63">
        <f t="shared" ca="1" si="239"/>
        <v>0</v>
      </c>
      <c r="P456" s="684">
        <f t="shared" si="240"/>
        <v>0</v>
      </c>
      <c r="Q456" s="480"/>
      <c r="R456" s="480"/>
      <c r="S456" s="480"/>
      <c r="T456" s="480"/>
      <c r="U456" s="480"/>
      <c r="V456" s="480"/>
      <c r="W456" s="480"/>
      <c r="X456" s="480"/>
      <c r="Y456" s="480"/>
      <c r="Z456" s="480"/>
    </row>
    <row r="457" spans="1:26" ht="20.25" customHeight="1">
      <c r="A457" s="810"/>
      <c r="B457" s="508"/>
      <c r="C457" s="860" t="s">
        <v>14</v>
      </c>
      <c r="D457" s="505" t="s">
        <v>36</v>
      </c>
      <c r="E457" s="506"/>
      <c r="F457" s="598"/>
      <c r="G457" s="507"/>
      <c r="H457" s="599"/>
      <c r="I457" s="216"/>
      <c r="J457" s="216"/>
      <c r="K457" s="63"/>
      <c r="L457" s="63"/>
      <c r="M457" s="63"/>
      <c r="N457" s="63"/>
      <c r="O457" s="63"/>
      <c r="P457" s="684"/>
      <c r="Q457" s="480"/>
      <c r="R457" s="480"/>
      <c r="S457" s="480"/>
      <c r="T457" s="480"/>
      <c r="U457" s="480"/>
      <c r="V457" s="480"/>
      <c r="W457" s="480"/>
      <c r="X457" s="480"/>
      <c r="Y457" s="480"/>
      <c r="Z457" s="480"/>
    </row>
    <row r="458" spans="1:26" ht="20.25" customHeight="1">
      <c r="A458" s="810"/>
      <c r="B458" s="508"/>
      <c r="C458" s="508"/>
      <c r="D458" s="508" t="s">
        <v>199</v>
      </c>
      <c r="E458" s="508"/>
      <c r="F458" s="574"/>
      <c r="G458" s="599"/>
      <c r="H458" s="601" t="s">
        <v>33</v>
      </c>
      <c r="I458" s="216">
        <v>0</v>
      </c>
      <c r="J458" s="216">
        <v>0</v>
      </c>
      <c r="K458" s="63">
        <f>IF(I458&gt;0,J458*100/I458,0)</f>
        <v>0</v>
      </c>
      <c r="L458" s="63"/>
      <c r="M458" s="63"/>
      <c r="N458" s="63"/>
      <c r="O458" s="63"/>
      <c r="P458" s="684"/>
      <c r="Q458" s="480"/>
      <c r="R458" s="480"/>
      <c r="S458" s="480"/>
      <c r="T458" s="480"/>
      <c r="U458" s="480"/>
      <c r="V458" s="480"/>
      <c r="W458" s="480"/>
      <c r="X458" s="480"/>
      <c r="Y458" s="480"/>
      <c r="Z458" s="480"/>
    </row>
    <row r="459" spans="1:26" ht="20.25" customHeight="1">
      <c r="A459" s="810"/>
      <c r="B459" s="508"/>
      <c r="C459" s="508"/>
      <c r="D459" s="508" t="s">
        <v>200</v>
      </c>
      <c r="E459" s="508"/>
      <c r="F459" s="574"/>
      <c r="G459" s="599"/>
      <c r="H459" s="601"/>
      <c r="I459" s="216"/>
      <c r="J459" s="216"/>
      <c r="K459" s="63"/>
      <c r="L459" s="63"/>
      <c r="M459" s="63"/>
      <c r="N459" s="63"/>
      <c r="O459" s="63"/>
      <c r="P459" s="684"/>
      <c r="Q459" s="480"/>
      <c r="R459" s="480"/>
      <c r="S459" s="480"/>
      <c r="T459" s="480"/>
      <c r="U459" s="480"/>
      <c r="V459" s="480"/>
      <c r="W459" s="480"/>
      <c r="X459" s="480"/>
      <c r="Y459" s="480"/>
      <c r="Z459" s="480"/>
    </row>
    <row r="460" spans="1:26" ht="20.25" customHeight="1">
      <c r="A460" s="810"/>
      <c r="B460" s="508"/>
      <c r="C460" s="508"/>
      <c r="D460" s="508" t="s">
        <v>201</v>
      </c>
      <c r="E460" s="508"/>
      <c r="F460" s="574"/>
      <c r="G460" s="599"/>
      <c r="H460" s="601" t="s">
        <v>33</v>
      </c>
      <c r="I460" s="216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4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63">
        <f ca="1">IF(I460&gt;0,J460*100/I460,0)</f>
        <v>100</v>
      </c>
      <c r="L460" s="63"/>
      <c r="M460" s="63"/>
      <c r="N460" s="63"/>
      <c r="O460" s="63"/>
      <c r="P460" s="684"/>
      <c r="Q460" s="480"/>
      <c r="R460" s="480"/>
      <c r="S460" s="480"/>
      <c r="T460" s="480"/>
      <c r="U460" s="480"/>
      <c r="V460" s="480"/>
      <c r="W460" s="480"/>
      <c r="X460" s="480"/>
      <c r="Y460" s="480"/>
      <c r="Z460" s="480"/>
    </row>
    <row r="461" spans="1:26" ht="20.25" customHeight="1">
      <c r="A461" s="810"/>
      <c r="B461" s="508"/>
      <c r="C461" s="508"/>
      <c r="D461" s="508" t="s">
        <v>202</v>
      </c>
      <c r="E461" s="574"/>
      <c r="F461" s="574"/>
      <c r="G461" s="599"/>
      <c r="H461" s="601"/>
      <c r="I461" s="216"/>
      <c r="J461" s="216"/>
      <c r="K461" s="63"/>
      <c r="L461" s="63"/>
      <c r="M461" s="63"/>
      <c r="N461" s="63"/>
      <c r="O461" s="63"/>
      <c r="P461" s="684"/>
      <c r="Q461" s="480"/>
      <c r="R461" s="480"/>
      <c r="S461" s="480"/>
      <c r="T461" s="480"/>
      <c r="U461" s="480"/>
      <c r="V461" s="480"/>
      <c r="W461" s="480"/>
      <c r="X461" s="480"/>
      <c r="Y461" s="480"/>
      <c r="Z461" s="480"/>
    </row>
    <row r="462" spans="1:26" ht="20.25" customHeight="1">
      <c r="A462" s="810"/>
      <c r="B462" s="508"/>
      <c r="C462" s="508"/>
      <c r="D462" s="508" t="s">
        <v>203</v>
      </c>
      <c r="E462" s="574"/>
      <c r="F462" s="574"/>
      <c r="G462" s="599"/>
      <c r="H462" s="601" t="s">
        <v>44</v>
      </c>
      <c r="I462" s="216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4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8420)</f>
        <v>8420</v>
      </c>
      <c r="K462" s="63">
        <f t="shared" ref="K462:K466" ca="1" si="241">IF(I462&gt;0,J462*100/I462,0)</f>
        <v>99.29245283018868</v>
      </c>
      <c r="L462" s="63"/>
      <c r="M462" s="63"/>
      <c r="N462" s="63"/>
      <c r="O462" s="63"/>
      <c r="P462" s="684"/>
      <c r="Q462" s="480"/>
      <c r="R462" s="480"/>
      <c r="S462" s="480"/>
      <c r="T462" s="480"/>
      <c r="U462" s="480"/>
      <c r="V462" s="480"/>
      <c r="W462" s="480"/>
      <c r="X462" s="480"/>
      <c r="Y462" s="480"/>
      <c r="Z462" s="480"/>
    </row>
    <row r="463" spans="1:26" ht="20.25" customHeight="1">
      <c r="A463" s="810"/>
      <c r="B463" s="508"/>
      <c r="C463" s="508"/>
      <c r="D463" s="508" t="s">
        <v>57</v>
      </c>
      <c r="E463" s="574"/>
      <c r="F463" s="600"/>
      <c r="G463" s="479"/>
      <c r="H463" s="601" t="s">
        <v>44</v>
      </c>
      <c r="I463" s="216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4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6140)</f>
        <v>6140</v>
      </c>
      <c r="K463" s="63">
        <f t="shared" ca="1" si="241"/>
        <v>72.405660377358487</v>
      </c>
      <c r="L463" s="63"/>
      <c r="M463" s="63"/>
      <c r="N463" s="63"/>
      <c r="O463" s="63"/>
      <c r="P463" s="684"/>
      <c r="Q463" s="480"/>
      <c r="R463" s="480"/>
      <c r="S463" s="480"/>
      <c r="T463" s="480"/>
      <c r="U463" s="480"/>
      <c r="V463" s="480"/>
      <c r="W463" s="480"/>
      <c r="X463" s="480"/>
      <c r="Y463" s="480"/>
      <c r="Z463" s="480"/>
    </row>
    <row r="464" spans="1:26" ht="20.25" customHeight="1">
      <c r="A464" s="810"/>
      <c r="B464" s="508"/>
      <c r="C464" s="508"/>
      <c r="D464" s="508"/>
      <c r="E464" s="574"/>
      <c r="F464" s="574"/>
      <c r="G464" s="509"/>
      <c r="H464" s="601" t="s">
        <v>33</v>
      </c>
      <c r="I464" s="216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4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2105)</f>
        <v>2105</v>
      </c>
      <c r="K464" s="63">
        <f t="shared" ca="1" si="241"/>
        <v>75.178571428571431</v>
      </c>
      <c r="L464" s="63"/>
      <c r="M464" s="63"/>
      <c r="N464" s="63"/>
      <c r="O464" s="63"/>
      <c r="P464" s="684"/>
      <c r="Q464" s="480"/>
      <c r="R464" s="480"/>
      <c r="S464" s="480"/>
      <c r="T464" s="480"/>
      <c r="U464" s="480"/>
      <c r="V464" s="480"/>
      <c r="W464" s="480"/>
      <c r="X464" s="480"/>
      <c r="Y464" s="480"/>
      <c r="Z464" s="480"/>
    </row>
    <row r="465" spans="1:26" ht="20.25" customHeight="1">
      <c r="A465" s="804">
        <v>3</v>
      </c>
      <c r="B465" s="488" t="s">
        <v>204</v>
      </c>
      <c r="C465" s="489"/>
      <c r="D465" s="489"/>
      <c r="E465" s="489"/>
      <c r="F465" s="489"/>
      <c r="G465" s="490"/>
      <c r="H465" s="522" t="s">
        <v>33</v>
      </c>
      <c r="I465" s="491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491">
        <f ca="1">J485+J489+J492</f>
        <v>4618</v>
      </c>
      <c r="K465" s="492">
        <f t="shared" ca="1" si="241"/>
        <v>101.13885238720981</v>
      </c>
      <c r="L465" s="493"/>
      <c r="M465" s="493"/>
      <c r="N465" s="493"/>
      <c r="O465" s="493"/>
      <c r="P465" s="805"/>
      <c r="Q465" s="480"/>
      <c r="R465" s="480"/>
      <c r="S465" s="480"/>
      <c r="T465" s="480"/>
      <c r="U465" s="480"/>
      <c r="V465" s="480"/>
      <c r="W465" s="480"/>
      <c r="X465" s="480"/>
      <c r="Y465" s="480"/>
      <c r="Z465" s="480"/>
    </row>
    <row r="466" spans="1:26" ht="20.25" customHeight="1">
      <c r="A466" s="806"/>
      <c r="B466" s="523"/>
      <c r="C466" s="494"/>
      <c r="D466" s="494"/>
      <c r="E466" s="494"/>
      <c r="F466" s="494"/>
      <c r="G466" s="495"/>
      <c r="H466" s="524" t="s">
        <v>44</v>
      </c>
      <c r="I466" s="496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496">
        <f ca="1">J483+J487</f>
        <v>44697</v>
      </c>
      <c r="K466" s="497">
        <f t="shared" ca="1" si="241"/>
        <v>99.326666666666668</v>
      </c>
      <c r="L466" s="498"/>
      <c r="M466" s="498"/>
      <c r="N466" s="498"/>
      <c r="O466" s="498"/>
      <c r="P466" s="807"/>
      <c r="Q466" s="480"/>
      <c r="R466" s="480"/>
      <c r="S466" s="480"/>
      <c r="T466" s="480"/>
      <c r="U466" s="480"/>
      <c r="V466" s="480"/>
      <c r="W466" s="480"/>
      <c r="X466" s="480"/>
      <c r="Y466" s="480"/>
      <c r="Z466" s="480"/>
    </row>
    <row r="467" spans="1:26" ht="20.25" customHeight="1">
      <c r="A467" s="808"/>
      <c r="B467" s="600"/>
      <c r="C467" s="860" t="s">
        <v>14</v>
      </c>
      <c r="D467" s="861" t="s">
        <v>15</v>
      </c>
      <c r="E467" s="862"/>
      <c r="F467" s="862"/>
      <c r="G467" s="479"/>
      <c r="H467" s="114" t="s">
        <v>12</v>
      </c>
      <c r="I467" s="216"/>
      <c r="J467" s="216"/>
      <c r="K467" s="63"/>
      <c r="L467" s="23">
        <f t="shared" ref="L467:N467" ca="1" si="242">L468+L469</f>
        <v>41714300</v>
      </c>
      <c r="M467" s="23">
        <f t="shared" ca="1" si="242"/>
        <v>41714300</v>
      </c>
      <c r="N467" s="23">
        <f t="shared" ca="1" si="242"/>
        <v>22393703.289999999</v>
      </c>
      <c r="O467" s="23">
        <f t="shared" ref="O467:O472" ca="1" si="243">IF(L467&gt;0,N467*100/L467,0)</f>
        <v>53.683516899480516</v>
      </c>
      <c r="P467" s="682">
        <f t="shared" ref="P467:P472" ca="1" si="244">IF(M467&gt;0,N467*100/M467,0)</f>
        <v>53.683516899480516</v>
      </c>
      <c r="Q467" s="480"/>
      <c r="R467" s="480"/>
      <c r="S467" s="480"/>
      <c r="T467" s="480"/>
      <c r="U467" s="480"/>
      <c r="V467" s="480"/>
      <c r="W467" s="480"/>
      <c r="X467" s="480"/>
      <c r="Y467" s="480"/>
      <c r="Z467" s="480"/>
    </row>
    <row r="468" spans="1:26" ht="20.25" customHeight="1">
      <c r="A468" s="808"/>
      <c r="B468" s="600"/>
      <c r="C468" s="600"/>
      <c r="D468" s="574"/>
      <c r="E468" s="600" t="s">
        <v>183</v>
      </c>
      <c r="F468" s="600"/>
      <c r="G468" s="479"/>
      <c r="H468" s="623" t="s">
        <v>12</v>
      </c>
      <c r="I468" s="216"/>
      <c r="J468" s="216"/>
      <c r="K468" s="63"/>
      <c r="L468" s="63">
        <f t="shared" ref="L468:N468" ca="1" si="245">L471+L478</f>
        <v>2053210</v>
      </c>
      <c r="M468" s="63">
        <f t="shared" ca="1" si="245"/>
        <v>2053210</v>
      </c>
      <c r="N468" s="63">
        <f t="shared" ca="1" si="245"/>
        <v>1183059.6100000001</v>
      </c>
      <c r="O468" s="63">
        <f t="shared" ca="1" si="243"/>
        <v>57.620000389633802</v>
      </c>
      <c r="P468" s="684">
        <f t="shared" ca="1" si="244"/>
        <v>57.620000389633802</v>
      </c>
      <c r="Q468" s="480"/>
      <c r="R468" s="480"/>
      <c r="S468" s="480"/>
      <c r="T468" s="480"/>
      <c r="U468" s="480"/>
      <c r="V468" s="480"/>
      <c r="W468" s="480"/>
      <c r="X468" s="480"/>
      <c r="Y468" s="480"/>
      <c r="Z468" s="480"/>
    </row>
    <row r="469" spans="1:26" ht="20.25" customHeight="1">
      <c r="A469" s="808"/>
      <c r="B469" s="504"/>
      <c r="C469" s="600"/>
      <c r="D469" s="574"/>
      <c r="E469" s="600" t="s">
        <v>184</v>
      </c>
      <c r="F469" s="600"/>
      <c r="G469" s="479"/>
      <c r="H469" s="623" t="s">
        <v>12</v>
      </c>
      <c r="I469" s="216"/>
      <c r="J469" s="216"/>
      <c r="K469" s="63"/>
      <c r="L469" s="63">
        <f t="shared" ref="L469:N469" ca="1" si="246">L472+L479</f>
        <v>39661090</v>
      </c>
      <c r="M469" s="63">
        <f t="shared" ca="1" si="246"/>
        <v>39661090</v>
      </c>
      <c r="N469" s="63">
        <f t="shared" ca="1" si="246"/>
        <v>21210643.68</v>
      </c>
      <c r="O469" s="63">
        <f t="shared" ca="1" si="243"/>
        <v>53.479729578788685</v>
      </c>
      <c r="P469" s="684">
        <f t="shared" ca="1" si="244"/>
        <v>53.479729578788685</v>
      </c>
      <c r="Q469" s="480"/>
      <c r="R469" s="480"/>
      <c r="S469" s="480"/>
      <c r="T469" s="480"/>
      <c r="U469" s="480"/>
      <c r="V469" s="480"/>
      <c r="W469" s="480"/>
      <c r="X469" s="480"/>
      <c r="Y469" s="480"/>
      <c r="Z469" s="480"/>
    </row>
    <row r="470" spans="1:26" ht="20.25" customHeight="1">
      <c r="A470" s="809"/>
      <c r="B470" s="499"/>
      <c r="C470" s="500"/>
      <c r="D470" s="501" t="s">
        <v>18</v>
      </c>
      <c r="E470" s="500"/>
      <c r="F470" s="500"/>
      <c r="G470" s="502"/>
      <c r="H470" s="114" t="s">
        <v>12</v>
      </c>
      <c r="I470" s="115"/>
      <c r="J470" s="115"/>
      <c r="K470" s="116"/>
      <c r="L470" s="23">
        <f t="shared" ref="L470:N470" ca="1" si="247">L471+L472</f>
        <v>41629300</v>
      </c>
      <c r="M470" s="23">
        <f t="shared" ca="1" si="247"/>
        <v>41629300</v>
      </c>
      <c r="N470" s="23">
        <f t="shared" ca="1" si="247"/>
        <v>22308703.289999999</v>
      </c>
      <c r="O470" s="23">
        <f t="shared" ca="1" si="243"/>
        <v>53.588946463188186</v>
      </c>
      <c r="P470" s="682">
        <f t="shared" ca="1" si="244"/>
        <v>53.588946463188186</v>
      </c>
      <c r="Q470" s="503"/>
      <c r="R470" s="503"/>
      <c r="S470" s="503"/>
      <c r="T470" s="503"/>
      <c r="U470" s="503"/>
      <c r="V470" s="503"/>
      <c r="W470" s="503"/>
      <c r="X470" s="503"/>
      <c r="Y470" s="503"/>
      <c r="Z470" s="503"/>
    </row>
    <row r="471" spans="1:26" ht="20.25" customHeight="1">
      <c r="A471" s="808"/>
      <c r="B471" s="504"/>
      <c r="C471" s="600"/>
      <c r="D471" s="574"/>
      <c r="E471" s="600" t="s">
        <v>183</v>
      </c>
      <c r="F471" s="600"/>
      <c r="G471" s="479"/>
      <c r="H471" s="623" t="s">
        <v>12</v>
      </c>
      <c r="I471" s="216"/>
      <c r="J471" s="216"/>
      <c r="K471" s="63"/>
      <c r="L471" s="63">
        <f ca="1">IFERROR(__xludf.DUMMYFUNCTION("IMPORTRANGE(""https://docs.google.com/spreadsheets/d/1QqKyyYR6Q21VydFLVH3TRQUabQu_ym0Zz7PgGX0-kHA/edit?usp=sharing"",""แผน!FS11"")"),1968210)</f>
        <v>1968210</v>
      </c>
      <c r="M471" s="63">
        <f ca="1">L471</f>
        <v>1968210</v>
      </c>
      <c r="N471" s="63">
        <f ca="1">IFERROR(__xludf.DUMMYFUNCTION("IMPORTRANGE(""https://docs.google.com/spreadsheets/d/1WhzDrMlrZfqSjGYJh0xYjRtGVhp5LiCqlO7EaAHfOOk/edit?usp=sharing"",""sheet1!W6"")"),1098059.61)</f>
        <v>1098059.6100000001</v>
      </c>
      <c r="O471" s="63">
        <f t="shared" ca="1" si="243"/>
        <v>55.789758714771295</v>
      </c>
      <c r="P471" s="684">
        <f t="shared" ca="1" si="244"/>
        <v>55.789758714771295</v>
      </c>
      <c r="Q471" s="480"/>
      <c r="R471" s="480"/>
      <c r="S471" s="480"/>
      <c r="T471" s="480"/>
      <c r="U471" s="480"/>
      <c r="V471" s="480"/>
      <c r="W471" s="480"/>
      <c r="X471" s="480"/>
      <c r="Y471" s="480"/>
      <c r="Z471" s="480"/>
    </row>
    <row r="472" spans="1:26" ht="20.25" customHeight="1">
      <c r="A472" s="808"/>
      <c r="B472" s="504"/>
      <c r="C472" s="600"/>
      <c r="D472" s="574"/>
      <c r="E472" s="600" t="s">
        <v>184</v>
      </c>
      <c r="F472" s="600"/>
      <c r="G472" s="479"/>
      <c r="H472" s="623" t="s">
        <v>12</v>
      </c>
      <c r="I472" s="216"/>
      <c r="J472" s="216"/>
      <c r="K472" s="63"/>
      <c r="L472" s="63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63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63">
        <f ca="1">N473+N474+N475+N476</f>
        <v>21210643.68</v>
      </c>
      <c r="O472" s="63">
        <f t="shared" ca="1" si="243"/>
        <v>53.479729578788685</v>
      </c>
      <c r="P472" s="684">
        <f t="shared" ca="1" si="244"/>
        <v>53.479729578788685</v>
      </c>
      <c r="Q472" s="480"/>
      <c r="R472" s="480"/>
      <c r="S472" s="480"/>
      <c r="T472" s="480"/>
      <c r="U472" s="480"/>
      <c r="V472" s="480"/>
      <c r="W472" s="480"/>
      <c r="X472" s="480"/>
      <c r="Y472" s="480"/>
      <c r="Z472" s="480"/>
    </row>
    <row r="473" spans="1:26" ht="20.25" customHeight="1">
      <c r="A473" s="801"/>
      <c r="B473" s="504"/>
      <c r="C473" s="600"/>
      <c r="D473" s="600"/>
      <c r="E473" s="600"/>
      <c r="F473" s="600" t="s">
        <v>185</v>
      </c>
      <c r="G473" s="479"/>
      <c r="H473" s="623" t="s">
        <v>12</v>
      </c>
      <c r="I473" s="216"/>
      <c r="J473" s="216"/>
      <c r="K473" s="63"/>
      <c r="L473" s="63"/>
      <c r="M473" s="63"/>
      <c r="N473" s="227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5343041.12)</f>
        <v>5343041.12</v>
      </c>
      <c r="O473" s="63"/>
      <c r="P473" s="684"/>
      <c r="Q473" s="480"/>
      <c r="R473" s="480"/>
      <c r="S473" s="480"/>
      <c r="T473" s="480"/>
      <c r="U473" s="480"/>
      <c r="V473" s="480"/>
      <c r="W473" s="480"/>
      <c r="X473" s="480"/>
      <c r="Y473" s="480"/>
      <c r="Z473" s="480"/>
    </row>
    <row r="474" spans="1:26" ht="20.25" customHeight="1">
      <c r="A474" s="801"/>
      <c r="B474" s="504"/>
      <c r="C474" s="600"/>
      <c r="D474" s="600"/>
      <c r="E474" s="600"/>
      <c r="F474" s="600" t="s">
        <v>186</v>
      </c>
      <c r="G474" s="479"/>
      <c r="H474" s="623" t="s">
        <v>12</v>
      </c>
      <c r="I474" s="216"/>
      <c r="J474" s="216"/>
      <c r="K474" s="63"/>
      <c r="L474" s="63"/>
      <c r="M474" s="63"/>
      <c r="N474" s="227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11729596.5)</f>
        <v>11729596.5</v>
      </c>
      <c r="O474" s="63"/>
      <c r="P474" s="684"/>
      <c r="Q474" s="480"/>
      <c r="R474" s="480"/>
      <c r="S474" s="480"/>
      <c r="T474" s="480"/>
      <c r="U474" s="480"/>
      <c r="V474" s="480"/>
      <c r="W474" s="480"/>
      <c r="X474" s="480"/>
      <c r="Y474" s="480"/>
      <c r="Z474" s="480"/>
    </row>
    <row r="475" spans="1:26" ht="20.25" customHeight="1">
      <c r="A475" s="801"/>
      <c r="B475" s="504"/>
      <c r="C475" s="504"/>
      <c r="D475" s="504"/>
      <c r="E475" s="504"/>
      <c r="F475" s="600" t="s">
        <v>187</v>
      </c>
      <c r="G475" s="479"/>
      <c r="H475" s="623" t="s">
        <v>12</v>
      </c>
      <c r="I475" s="216"/>
      <c r="J475" s="216"/>
      <c r="K475" s="63"/>
      <c r="L475" s="63"/>
      <c r="M475" s="63"/>
      <c r="N475" s="227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2439699.61)</f>
        <v>2439699.61</v>
      </c>
      <c r="O475" s="63"/>
      <c r="P475" s="684"/>
      <c r="Q475" s="480"/>
      <c r="R475" s="480"/>
      <c r="S475" s="480"/>
      <c r="T475" s="480"/>
      <c r="U475" s="480"/>
      <c r="V475" s="480"/>
      <c r="W475" s="480"/>
      <c r="X475" s="480"/>
      <c r="Y475" s="480"/>
      <c r="Z475" s="480"/>
    </row>
    <row r="476" spans="1:26" ht="20.25" customHeight="1">
      <c r="A476" s="801"/>
      <c r="B476" s="504"/>
      <c r="C476" s="504"/>
      <c r="D476" s="504"/>
      <c r="E476" s="504"/>
      <c r="F476" s="600" t="s">
        <v>188</v>
      </c>
      <c r="G476" s="479"/>
      <c r="H476" s="623" t="s">
        <v>12</v>
      </c>
      <c r="I476" s="216"/>
      <c r="J476" s="216"/>
      <c r="K476" s="63"/>
      <c r="L476" s="63"/>
      <c r="M476" s="63"/>
      <c r="N476" s="227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1698306.45)</f>
        <v>1698306.45</v>
      </c>
      <c r="O476" s="63"/>
      <c r="P476" s="684"/>
      <c r="Q476" s="480"/>
      <c r="R476" s="480"/>
      <c r="S476" s="480"/>
      <c r="T476" s="480"/>
      <c r="U476" s="480"/>
      <c r="V476" s="480"/>
      <c r="W476" s="480"/>
      <c r="X476" s="480"/>
      <c r="Y476" s="480"/>
      <c r="Z476" s="480"/>
    </row>
    <row r="477" spans="1:26" ht="20.25" customHeight="1">
      <c r="A477" s="809"/>
      <c r="B477" s="499"/>
      <c r="C477" s="499"/>
      <c r="D477" s="501" t="s">
        <v>19</v>
      </c>
      <c r="E477" s="499"/>
      <c r="F477" s="499"/>
      <c r="G477" s="502"/>
      <c r="H477" s="118" t="s">
        <v>12</v>
      </c>
      <c r="I477" s="115"/>
      <c r="J477" s="115"/>
      <c r="K477" s="116"/>
      <c r="L477" s="23">
        <f t="shared" ref="L477:N477" ca="1" si="248">L478+L479</f>
        <v>85000</v>
      </c>
      <c r="M477" s="23">
        <f t="shared" ca="1" si="248"/>
        <v>85000</v>
      </c>
      <c r="N477" s="23">
        <f t="shared" ca="1" si="248"/>
        <v>85000</v>
      </c>
      <c r="O477" s="23">
        <f t="shared" ref="O477:O479" ca="1" si="249">IF(L477&gt;0,N477*100/L477,0)</f>
        <v>100</v>
      </c>
      <c r="P477" s="682">
        <f t="shared" ref="P477:P479" ca="1" si="250">IF(M477&gt;0,N477*100/M477,0)</f>
        <v>100</v>
      </c>
      <c r="Q477" s="503"/>
      <c r="R477" s="503"/>
      <c r="S477" s="503"/>
      <c r="T477" s="503"/>
      <c r="U477" s="503"/>
      <c r="V477" s="503"/>
      <c r="W477" s="503"/>
      <c r="X477" s="503"/>
      <c r="Y477" s="503"/>
      <c r="Z477" s="503"/>
    </row>
    <row r="478" spans="1:26" ht="20.25" customHeight="1">
      <c r="A478" s="808"/>
      <c r="B478" s="504"/>
      <c r="C478" s="504"/>
      <c r="D478" s="504"/>
      <c r="E478" s="504" t="s">
        <v>16</v>
      </c>
      <c r="F478" s="504"/>
      <c r="G478" s="479"/>
      <c r="H478" s="623" t="s">
        <v>12</v>
      </c>
      <c r="I478" s="128"/>
      <c r="J478" s="128"/>
      <c r="K478" s="117"/>
      <c r="L478" s="63">
        <f ca="1">IFERROR(__xludf.DUMMYFUNCTION("IMPORTRANGE(""https://docs.google.com/spreadsheets/d/1QqKyyYR6Q21VydFLVH3TRQUabQu_ym0Zz7PgGX0-kHA/edit?usp=sharing"",""แผน!FV11"")"),85000)</f>
        <v>85000</v>
      </c>
      <c r="M478" s="63">
        <f ca="1">L478</f>
        <v>85000</v>
      </c>
      <c r="N478" s="63">
        <f ca="1">IFERROR(__xludf.DUMMYFUNCTION("IMPORTRANGE(""https://docs.google.com/spreadsheets/d/1WhzDrMlrZfqSjGYJh0xYjRtGVhp5LiCqlO7EaAHfOOk/edit?usp=sharing"",""sheet1!Y6"")"),85000)</f>
        <v>85000</v>
      </c>
      <c r="O478" s="63">
        <f t="shared" ca="1" si="249"/>
        <v>100</v>
      </c>
      <c r="P478" s="684">
        <f t="shared" ca="1" si="250"/>
        <v>100</v>
      </c>
      <c r="Q478" s="480"/>
      <c r="R478" s="480"/>
      <c r="S478" s="480"/>
      <c r="T478" s="480"/>
      <c r="U478" s="480"/>
      <c r="V478" s="480"/>
      <c r="W478" s="480"/>
      <c r="X478" s="480"/>
      <c r="Y478" s="480"/>
      <c r="Z478" s="480"/>
    </row>
    <row r="479" spans="1:26" ht="20.25" customHeight="1">
      <c r="A479" s="808"/>
      <c r="B479" s="504"/>
      <c r="C479" s="504"/>
      <c r="D479" s="504"/>
      <c r="E479" s="504" t="s">
        <v>17</v>
      </c>
      <c r="F479" s="504"/>
      <c r="G479" s="479"/>
      <c r="H479" s="119" t="s">
        <v>12</v>
      </c>
      <c r="I479" s="128"/>
      <c r="J479" s="128"/>
      <c r="K479" s="117"/>
      <c r="L479" s="63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63">
        <v>0</v>
      </c>
      <c r="N479" s="63">
        <v>0</v>
      </c>
      <c r="O479" s="63">
        <f t="shared" ca="1" si="249"/>
        <v>0</v>
      </c>
      <c r="P479" s="684">
        <f t="shared" si="250"/>
        <v>0</v>
      </c>
      <c r="Q479" s="480"/>
      <c r="R479" s="480"/>
      <c r="S479" s="480"/>
      <c r="T479" s="480"/>
      <c r="U479" s="480"/>
      <c r="V479" s="480"/>
      <c r="W479" s="480"/>
      <c r="X479" s="480"/>
      <c r="Y479" s="480"/>
      <c r="Z479" s="480"/>
    </row>
    <row r="480" spans="1:26" ht="20.25" customHeight="1">
      <c r="A480" s="811"/>
      <c r="B480" s="516"/>
      <c r="C480" s="860" t="s">
        <v>14</v>
      </c>
      <c r="D480" s="511" t="s">
        <v>36</v>
      </c>
      <c r="E480" s="512"/>
      <c r="F480" s="513"/>
      <c r="G480" s="514"/>
      <c r="H480" s="147"/>
      <c r="I480" s="307"/>
      <c r="J480" s="307"/>
      <c r="K480" s="400"/>
      <c r="L480" s="400"/>
      <c r="M480" s="400"/>
      <c r="N480" s="400"/>
      <c r="O480" s="400"/>
      <c r="P480" s="812"/>
      <c r="Q480" s="515"/>
      <c r="R480" s="515"/>
      <c r="S480" s="515"/>
      <c r="T480" s="515"/>
      <c r="U480" s="515"/>
      <c r="V480" s="515"/>
      <c r="W480" s="515"/>
      <c r="X480" s="515"/>
      <c r="Y480" s="515"/>
      <c r="Z480" s="515"/>
    </row>
    <row r="481" spans="1:26" ht="20.25" customHeight="1">
      <c r="A481" s="811"/>
      <c r="B481" s="516"/>
      <c r="C481" s="516"/>
      <c r="D481" s="518" t="s">
        <v>205</v>
      </c>
      <c r="E481" s="516"/>
      <c r="F481" s="516"/>
      <c r="G481" s="147"/>
      <c r="H481" s="153"/>
      <c r="I481" s="307"/>
      <c r="J481" s="307"/>
      <c r="K481" s="400"/>
      <c r="L481" s="400"/>
      <c r="M481" s="400"/>
      <c r="N481" s="400"/>
      <c r="O481" s="400"/>
      <c r="P481" s="812"/>
      <c r="Q481" s="515"/>
      <c r="R481" s="515"/>
      <c r="S481" s="515"/>
      <c r="T481" s="515"/>
      <c r="U481" s="515"/>
      <c r="V481" s="515"/>
      <c r="W481" s="515"/>
      <c r="X481" s="515"/>
      <c r="Y481" s="515"/>
      <c r="Z481" s="515"/>
    </row>
    <row r="482" spans="1:26" ht="20.25" customHeight="1">
      <c r="A482" s="811"/>
      <c r="B482" s="516"/>
      <c r="C482" s="516"/>
      <c r="D482" s="516"/>
      <c r="E482" s="516" t="s">
        <v>206</v>
      </c>
      <c r="F482" s="516"/>
      <c r="G482" s="147"/>
      <c r="H482" s="153"/>
      <c r="I482" s="307"/>
      <c r="J482" s="307"/>
      <c r="K482" s="400"/>
      <c r="L482" s="400"/>
      <c r="M482" s="400"/>
      <c r="N482" s="400"/>
      <c r="O482" s="400"/>
      <c r="P482" s="812"/>
      <c r="Q482" s="515"/>
      <c r="R482" s="515"/>
      <c r="S482" s="515"/>
      <c r="T482" s="515"/>
      <c r="U482" s="515"/>
      <c r="V482" s="515"/>
      <c r="W482" s="515"/>
      <c r="X482" s="515"/>
      <c r="Y482" s="515"/>
      <c r="Z482" s="515"/>
    </row>
    <row r="483" spans="1:26" ht="20.25" customHeight="1">
      <c r="A483" s="811"/>
      <c r="B483" s="516"/>
      <c r="C483" s="516"/>
      <c r="D483" s="516"/>
      <c r="E483" s="516"/>
      <c r="F483" s="516" t="s">
        <v>207</v>
      </c>
      <c r="G483" s="147"/>
      <c r="H483" s="517" t="s">
        <v>44</v>
      </c>
      <c r="I483" s="307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635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40428)</f>
        <v>40428</v>
      </c>
      <c r="K483" s="400">
        <f ca="1">IF(I483&gt;0,J483*100/I483,0)</f>
        <v>99.822222222222223</v>
      </c>
      <c r="L483" s="400"/>
      <c r="M483" s="400"/>
      <c r="N483" s="400"/>
      <c r="O483" s="400"/>
      <c r="P483" s="812"/>
      <c r="Q483" s="515"/>
      <c r="R483" s="515"/>
      <c r="S483" s="515"/>
      <c r="T483" s="515"/>
      <c r="U483" s="515"/>
      <c r="V483" s="515"/>
      <c r="W483" s="515"/>
      <c r="X483" s="515"/>
      <c r="Y483" s="515"/>
      <c r="Z483" s="515"/>
    </row>
    <row r="484" spans="1:26" ht="20.25" customHeight="1">
      <c r="A484" s="811"/>
      <c r="B484" s="516"/>
      <c r="C484" s="516"/>
      <c r="D484" s="516"/>
      <c r="E484" s="516"/>
      <c r="F484" s="516" t="s">
        <v>208</v>
      </c>
      <c r="G484" s="147"/>
      <c r="H484" s="517" t="s">
        <v>33</v>
      </c>
      <c r="I484" s="307"/>
      <c r="J484" s="635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2740)</f>
        <v>2740</v>
      </c>
      <c r="K484" s="400"/>
      <c r="L484" s="400"/>
      <c r="M484" s="400"/>
      <c r="N484" s="400"/>
      <c r="O484" s="400"/>
      <c r="P484" s="812"/>
      <c r="Q484" s="515"/>
      <c r="R484" s="515"/>
      <c r="S484" s="515"/>
      <c r="T484" s="515"/>
      <c r="U484" s="515"/>
      <c r="V484" s="515"/>
      <c r="W484" s="515"/>
      <c r="X484" s="515"/>
      <c r="Y484" s="515"/>
      <c r="Z484" s="515"/>
    </row>
    <row r="485" spans="1:26" ht="20.25" customHeight="1">
      <c r="A485" s="811"/>
      <c r="B485" s="516"/>
      <c r="C485" s="516"/>
      <c r="D485" s="516"/>
      <c r="E485" s="516"/>
      <c r="F485" s="516" t="s">
        <v>209</v>
      </c>
      <c r="G485" s="147"/>
      <c r="H485" s="517" t="s">
        <v>33</v>
      </c>
      <c r="I485" s="307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635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400">
        <f ca="1">IF(I485&gt;0,J485*100/I485,0)</f>
        <v>101.20987654320987</v>
      </c>
      <c r="L485" s="400"/>
      <c r="M485" s="400"/>
      <c r="N485" s="400"/>
      <c r="O485" s="400"/>
      <c r="P485" s="812"/>
      <c r="Q485" s="515"/>
      <c r="R485" s="515"/>
      <c r="S485" s="515"/>
      <c r="T485" s="515"/>
      <c r="U485" s="515"/>
      <c r="V485" s="515"/>
      <c r="W485" s="515"/>
      <c r="X485" s="515"/>
      <c r="Y485" s="515"/>
      <c r="Z485" s="515"/>
    </row>
    <row r="486" spans="1:26" ht="20.25" customHeight="1">
      <c r="A486" s="811"/>
      <c r="B486" s="516"/>
      <c r="C486" s="516"/>
      <c r="D486" s="516"/>
      <c r="E486" s="516" t="s">
        <v>60</v>
      </c>
      <c r="F486" s="516"/>
      <c r="G486" s="147"/>
      <c r="H486" s="517"/>
      <c r="I486" s="307"/>
      <c r="J486" s="307"/>
      <c r="K486" s="400"/>
      <c r="L486" s="400"/>
      <c r="M486" s="400"/>
      <c r="N486" s="400"/>
      <c r="O486" s="400"/>
      <c r="P486" s="812"/>
      <c r="Q486" s="515"/>
      <c r="R486" s="515"/>
      <c r="S486" s="515"/>
      <c r="T486" s="515"/>
      <c r="U486" s="515"/>
      <c r="V486" s="515"/>
      <c r="W486" s="515"/>
      <c r="X486" s="515"/>
      <c r="Y486" s="515"/>
      <c r="Z486" s="515"/>
    </row>
    <row r="487" spans="1:26" ht="20.25" customHeight="1">
      <c r="A487" s="811"/>
      <c r="B487" s="516"/>
      <c r="C487" s="516"/>
      <c r="D487" s="516"/>
      <c r="E487" s="516"/>
      <c r="F487" s="516" t="s">
        <v>207</v>
      </c>
      <c r="G487" s="147"/>
      <c r="H487" s="517" t="s">
        <v>44</v>
      </c>
      <c r="I487" s="307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635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4269)</f>
        <v>4269</v>
      </c>
      <c r="K487" s="400">
        <f ca="1">IF(I487&gt;0,J487*100/I487,0)</f>
        <v>94.86666666666666</v>
      </c>
      <c r="L487" s="400"/>
      <c r="M487" s="400"/>
      <c r="N487" s="400"/>
      <c r="O487" s="400"/>
      <c r="P487" s="812"/>
      <c r="Q487" s="515"/>
      <c r="R487" s="515"/>
      <c r="S487" s="515"/>
      <c r="T487" s="515"/>
      <c r="U487" s="515"/>
      <c r="V487" s="515"/>
      <c r="W487" s="515"/>
      <c r="X487" s="515"/>
      <c r="Y487" s="515"/>
      <c r="Z487" s="515"/>
    </row>
    <row r="488" spans="1:26" ht="20.25" customHeight="1">
      <c r="A488" s="811"/>
      <c r="B488" s="516"/>
      <c r="C488" s="516"/>
      <c r="D488" s="516"/>
      <c r="E488" s="516"/>
      <c r="F488" s="516" t="s">
        <v>210</v>
      </c>
      <c r="G488" s="147"/>
      <c r="H488" s="517" t="s">
        <v>33</v>
      </c>
      <c r="I488" s="307"/>
      <c r="J488" s="635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287)</f>
        <v>287</v>
      </c>
      <c r="K488" s="400"/>
      <c r="L488" s="400"/>
      <c r="M488" s="400"/>
      <c r="N488" s="400"/>
      <c r="O488" s="400"/>
      <c r="P488" s="812"/>
      <c r="Q488" s="515"/>
      <c r="R488" s="515"/>
      <c r="S488" s="515"/>
      <c r="T488" s="515"/>
      <c r="U488" s="515"/>
      <c r="V488" s="515"/>
      <c r="W488" s="515"/>
      <c r="X488" s="515"/>
      <c r="Y488" s="515"/>
      <c r="Z488" s="515"/>
    </row>
    <row r="489" spans="1:26" ht="20.25" customHeight="1">
      <c r="A489" s="811"/>
      <c r="B489" s="516"/>
      <c r="C489" s="516"/>
      <c r="D489" s="516"/>
      <c r="E489" s="516"/>
      <c r="F489" s="516" t="s">
        <v>211</v>
      </c>
      <c r="G489" s="147"/>
      <c r="H489" s="517" t="s">
        <v>33</v>
      </c>
      <c r="I489" s="307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635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456)</f>
        <v>456</v>
      </c>
      <c r="K489" s="400">
        <f ca="1">IF(I489&gt;0,J489*100/I489,0)</f>
        <v>101.33333333333333</v>
      </c>
      <c r="L489" s="400"/>
      <c r="M489" s="400"/>
      <c r="N489" s="400"/>
      <c r="O489" s="400"/>
      <c r="P489" s="812"/>
      <c r="Q489" s="515"/>
      <c r="R489" s="515"/>
      <c r="S489" s="515"/>
      <c r="T489" s="515"/>
      <c r="U489" s="515"/>
      <c r="V489" s="515"/>
      <c r="W489" s="515"/>
      <c r="X489" s="515"/>
      <c r="Y489" s="515"/>
      <c r="Z489" s="515"/>
    </row>
    <row r="490" spans="1:26" ht="20.25" customHeight="1">
      <c r="A490" s="811"/>
      <c r="B490" s="516"/>
      <c r="C490" s="516"/>
      <c r="D490" s="516"/>
      <c r="E490" s="516" t="s">
        <v>61</v>
      </c>
      <c r="F490" s="519"/>
      <c r="G490" s="147"/>
      <c r="H490" s="517"/>
      <c r="I490" s="307"/>
      <c r="J490" s="307"/>
      <c r="K490" s="400"/>
      <c r="L490" s="400"/>
      <c r="M490" s="400"/>
      <c r="N490" s="400"/>
      <c r="O490" s="400"/>
      <c r="P490" s="812"/>
      <c r="Q490" s="515"/>
      <c r="R490" s="515"/>
      <c r="S490" s="515"/>
      <c r="T490" s="515"/>
      <c r="U490" s="515"/>
      <c r="V490" s="515"/>
      <c r="W490" s="515"/>
      <c r="X490" s="515"/>
      <c r="Y490" s="515"/>
      <c r="Z490" s="515"/>
    </row>
    <row r="491" spans="1:26" ht="20.25" customHeight="1">
      <c r="A491" s="811"/>
      <c r="B491" s="516"/>
      <c r="C491" s="516"/>
      <c r="D491" s="516"/>
      <c r="E491" s="516"/>
      <c r="F491" s="516" t="s">
        <v>212</v>
      </c>
      <c r="G491" s="147"/>
      <c r="H491" s="517" t="s">
        <v>33</v>
      </c>
      <c r="I491" s="307"/>
      <c r="J491" s="635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48)</f>
        <v>48</v>
      </c>
      <c r="K491" s="400"/>
      <c r="L491" s="400"/>
      <c r="M491" s="400"/>
      <c r="N491" s="400"/>
      <c r="O491" s="400"/>
      <c r="P491" s="812"/>
      <c r="Q491" s="515"/>
      <c r="R491" s="515"/>
      <c r="S491" s="515"/>
      <c r="T491" s="515"/>
      <c r="U491" s="515"/>
      <c r="V491" s="515"/>
      <c r="W491" s="515"/>
      <c r="X491" s="515"/>
      <c r="Y491" s="515"/>
      <c r="Z491" s="515"/>
    </row>
    <row r="492" spans="1:26" ht="20.25" customHeight="1">
      <c r="A492" s="811"/>
      <c r="B492" s="516"/>
      <c r="C492" s="516"/>
      <c r="D492" s="516"/>
      <c r="E492" s="516"/>
      <c r="F492" s="516" t="s">
        <v>213</v>
      </c>
      <c r="G492" s="147"/>
      <c r="H492" s="517" t="s">
        <v>33</v>
      </c>
      <c r="I492" s="307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635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400">
        <f ca="1">IF(I492&gt;0,J492*100/I492,0)</f>
        <v>95.454545454545453</v>
      </c>
      <c r="L492" s="400"/>
      <c r="M492" s="400"/>
      <c r="N492" s="400"/>
      <c r="O492" s="400"/>
      <c r="P492" s="812"/>
      <c r="Q492" s="515"/>
      <c r="R492" s="515"/>
      <c r="S492" s="515"/>
      <c r="T492" s="515"/>
      <c r="U492" s="515"/>
      <c r="V492" s="515"/>
      <c r="W492" s="515"/>
      <c r="X492" s="515"/>
      <c r="Y492" s="515"/>
      <c r="Z492" s="515"/>
    </row>
    <row r="493" spans="1:26" ht="20.25" customHeight="1">
      <c r="A493" s="811"/>
      <c r="B493" s="516"/>
      <c r="C493" s="516"/>
      <c r="D493" s="518" t="s">
        <v>57</v>
      </c>
      <c r="E493" s="516"/>
      <c r="F493" s="519"/>
      <c r="G493" s="147"/>
      <c r="H493" s="153"/>
      <c r="I493" s="307"/>
      <c r="J493" s="307"/>
      <c r="K493" s="400"/>
      <c r="L493" s="400"/>
      <c r="M493" s="400"/>
      <c r="N493" s="400"/>
      <c r="O493" s="400"/>
      <c r="P493" s="812"/>
      <c r="Q493" s="515"/>
      <c r="R493" s="515"/>
      <c r="S493" s="515"/>
      <c r="T493" s="515"/>
      <c r="U493" s="515"/>
      <c r="V493" s="515"/>
      <c r="W493" s="515"/>
      <c r="X493" s="515"/>
      <c r="Y493" s="515"/>
      <c r="Z493" s="515"/>
    </row>
    <row r="494" spans="1:26" ht="20.25" customHeight="1">
      <c r="A494" s="811"/>
      <c r="B494" s="516"/>
      <c r="C494" s="516"/>
      <c r="D494" s="516"/>
      <c r="E494" s="516" t="s">
        <v>206</v>
      </c>
      <c r="F494" s="519"/>
      <c r="G494" s="147"/>
      <c r="H494" s="153"/>
      <c r="I494" s="307"/>
      <c r="J494" s="307"/>
      <c r="K494" s="400"/>
      <c r="L494" s="400"/>
      <c r="M494" s="400"/>
      <c r="N494" s="400"/>
      <c r="O494" s="400"/>
      <c r="P494" s="812"/>
      <c r="Q494" s="515"/>
      <c r="R494" s="515"/>
      <c r="S494" s="515"/>
      <c r="T494" s="515"/>
      <c r="U494" s="515"/>
      <c r="V494" s="515"/>
      <c r="W494" s="515"/>
      <c r="X494" s="515"/>
      <c r="Y494" s="515"/>
      <c r="Z494" s="515"/>
    </row>
    <row r="495" spans="1:26" ht="20.25" customHeight="1">
      <c r="A495" s="811"/>
      <c r="B495" s="516"/>
      <c r="C495" s="516"/>
      <c r="D495" s="516"/>
      <c r="E495" s="516"/>
      <c r="F495" s="519" t="s">
        <v>214</v>
      </c>
      <c r="G495" s="147"/>
      <c r="H495" s="517" t="s">
        <v>44</v>
      </c>
      <c r="I495" s="307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635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19450)</f>
        <v>19450</v>
      </c>
      <c r="K495" s="400">
        <f ca="1">IF(I495&gt;0,J495*100/I495,0)</f>
        <v>48.02469135802469</v>
      </c>
      <c r="L495" s="400"/>
      <c r="M495" s="400"/>
      <c r="N495" s="400"/>
      <c r="O495" s="400"/>
      <c r="P495" s="812"/>
      <c r="Q495" s="515"/>
      <c r="R495" s="515"/>
      <c r="S495" s="515"/>
      <c r="T495" s="515"/>
      <c r="U495" s="515"/>
      <c r="V495" s="515"/>
      <c r="W495" s="515"/>
      <c r="X495" s="515"/>
      <c r="Y495" s="515"/>
      <c r="Z495" s="515"/>
    </row>
    <row r="496" spans="1:26" ht="20.25" customHeight="1">
      <c r="A496" s="811"/>
      <c r="B496" s="516"/>
      <c r="C496" s="516"/>
      <c r="D496" s="516"/>
      <c r="E496" s="516"/>
      <c r="F496" s="519" t="s">
        <v>215</v>
      </c>
      <c r="G496" s="147"/>
      <c r="H496" s="517" t="s">
        <v>44</v>
      </c>
      <c r="I496" s="307"/>
      <c r="J496" s="635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6315)</f>
        <v>6315</v>
      </c>
      <c r="K496" s="400"/>
      <c r="L496" s="400"/>
      <c r="M496" s="400"/>
      <c r="N496" s="400"/>
      <c r="O496" s="400"/>
      <c r="P496" s="812"/>
      <c r="Q496" s="515"/>
      <c r="R496" s="515"/>
      <c r="S496" s="515"/>
      <c r="T496" s="515"/>
      <c r="U496" s="515"/>
      <c r="V496" s="515"/>
      <c r="W496" s="515"/>
      <c r="X496" s="515"/>
      <c r="Y496" s="515"/>
      <c r="Z496" s="515"/>
    </row>
    <row r="497" spans="1:26" ht="20.25" customHeight="1">
      <c r="A497" s="811"/>
      <c r="B497" s="516"/>
      <c r="C497" s="516"/>
      <c r="D497" s="516"/>
      <c r="E497" s="516" t="s">
        <v>60</v>
      </c>
      <c r="F497" s="519"/>
      <c r="G497" s="147"/>
      <c r="H497" s="153"/>
      <c r="I497" s="307"/>
      <c r="J497" s="307"/>
      <c r="K497" s="400"/>
      <c r="L497" s="400"/>
      <c r="M497" s="400"/>
      <c r="N497" s="400"/>
      <c r="O497" s="400"/>
      <c r="P497" s="812"/>
      <c r="Q497" s="515"/>
      <c r="R497" s="515"/>
      <c r="S497" s="515"/>
      <c r="T497" s="515"/>
      <c r="U497" s="515"/>
      <c r="V497" s="515"/>
      <c r="W497" s="515"/>
      <c r="X497" s="515"/>
      <c r="Y497" s="515"/>
      <c r="Z497" s="515"/>
    </row>
    <row r="498" spans="1:26" ht="20.25" customHeight="1">
      <c r="A498" s="811"/>
      <c r="B498" s="516"/>
      <c r="C498" s="516"/>
      <c r="D498" s="516"/>
      <c r="E498" s="519"/>
      <c r="F498" s="519" t="s">
        <v>216</v>
      </c>
      <c r="G498" s="147"/>
      <c r="H498" s="517" t="s">
        <v>44</v>
      </c>
      <c r="I498" s="307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635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2160)</f>
        <v>2160</v>
      </c>
      <c r="K498" s="400">
        <f ca="1">IF(I498&gt;0,J498*100/I498,0)</f>
        <v>48</v>
      </c>
      <c r="L498" s="400"/>
      <c r="M498" s="400"/>
      <c r="N498" s="400"/>
      <c r="O498" s="400"/>
      <c r="P498" s="812"/>
      <c r="Q498" s="515"/>
      <c r="R498" s="515"/>
      <c r="S498" s="515"/>
      <c r="T498" s="515"/>
      <c r="U498" s="515"/>
      <c r="V498" s="515"/>
      <c r="W498" s="515"/>
      <c r="X498" s="515"/>
      <c r="Y498" s="515"/>
      <c r="Z498" s="515"/>
    </row>
    <row r="499" spans="1:26" ht="20.25" customHeight="1">
      <c r="A499" s="811"/>
      <c r="B499" s="516"/>
      <c r="C499" s="516"/>
      <c r="D499" s="516"/>
      <c r="E499" s="519"/>
      <c r="F499" s="519" t="s">
        <v>217</v>
      </c>
      <c r="G499" s="147"/>
      <c r="H499" s="517" t="s">
        <v>44</v>
      </c>
      <c r="I499" s="307"/>
      <c r="J499" s="635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692)</f>
        <v>692</v>
      </c>
      <c r="K499" s="400"/>
      <c r="L499" s="400"/>
      <c r="M499" s="400"/>
      <c r="N499" s="400"/>
      <c r="O499" s="400"/>
      <c r="P499" s="812"/>
      <c r="Q499" s="515"/>
      <c r="R499" s="515"/>
      <c r="S499" s="515"/>
      <c r="T499" s="515"/>
      <c r="U499" s="515"/>
      <c r="V499" s="515"/>
      <c r="W499" s="515"/>
      <c r="X499" s="515"/>
      <c r="Y499" s="515"/>
      <c r="Z499" s="515"/>
    </row>
    <row r="500" spans="1:26" ht="20.25" customHeight="1">
      <c r="A500" s="804">
        <v>4</v>
      </c>
      <c r="B500" s="520" t="s">
        <v>218</v>
      </c>
      <c r="C500" s="521"/>
      <c r="D500" s="489"/>
      <c r="E500" s="489"/>
      <c r="F500" s="489"/>
      <c r="G500" s="490"/>
      <c r="H500" s="522" t="s">
        <v>107</v>
      </c>
      <c r="I500" s="491">
        <f t="shared" ref="I500:J500" si="251">I516</f>
        <v>200000</v>
      </c>
      <c r="J500" s="491">
        <f t="shared" si="251"/>
        <v>93490</v>
      </c>
      <c r="K500" s="492">
        <f t="shared" ref="K500:K501" si="252">IF(I500&gt;0,J500*100/I500,0)</f>
        <v>46.744999999999997</v>
      </c>
      <c r="L500" s="493"/>
      <c r="M500" s="493"/>
      <c r="N500" s="493"/>
      <c r="O500" s="493"/>
      <c r="P500" s="805"/>
      <c r="Q500" s="480"/>
      <c r="R500" s="480"/>
      <c r="S500" s="480"/>
      <c r="T500" s="480"/>
      <c r="U500" s="480"/>
      <c r="V500" s="480"/>
      <c r="W500" s="480"/>
      <c r="X500" s="480"/>
      <c r="Y500" s="480"/>
      <c r="Z500" s="480"/>
    </row>
    <row r="501" spans="1:26" ht="20.25" customHeight="1">
      <c r="A501" s="806"/>
      <c r="B501" s="523" t="s">
        <v>219</v>
      </c>
      <c r="C501" s="523"/>
      <c r="D501" s="494"/>
      <c r="E501" s="494"/>
      <c r="F501" s="494"/>
      <c r="G501" s="495"/>
      <c r="H501" s="524" t="s">
        <v>33</v>
      </c>
      <c r="I501" s="496">
        <f t="shared" ref="I501:J501" si="253">I517</f>
        <v>100</v>
      </c>
      <c r="J501" s="496">
        <f t="shared" si="253"/>
        <v>233</v>
      </c>
      <c r="K501" s="497">
        <f t="shared" si="252"/>
        <v>233</v>
      </c>
      <c r="L501" s="498"/>
      <c r="M501" s="498"/>
      <c r="N501" s="498"/>
      <c r="O501" s="498"/>
      <c r="P501" s="807"/>
      <c r="Q501" s="480"/>
      <c r="R501" s="480"/>
      <c r="S501" s="480"/>
      <c r="T501" s="480"/>
      <c r="U501" s="480"/>
      <c r="V501" s="480"/>
      <c r="W501" s="480"/>
      <c r="X501" s="480"/>
      <c r="Y501" s="480"/>
      <c r="Z501" s="480"/>
    </row>
    <row r="502" spans="1:26" ht="20.25" customHeight="1">
      <c r="A502" s="808"/>
      <c r="B502" s="600"/>
      <c r="C502" s="860" t="s">
        <v>14</v>
      </c>
      <c r="D502" s="861" t="s">
        <v>15</v>
      </c>
      <c r="E502" s="862"/>
      <c r="F502" s="862"/>
      <c r="G502" s="479"/>
      <c r="H502" s="114" t="s">
        <v>12</v>
      </c>
      <c r="I502" s="216"/>
      <c r="J502" s="216"/>
      <c r="K502" s="63"/>
      <c r="L502" s="23">
        <f t="shared" ref="L502:N502" ca="1" si="254">L503+L504</f>
        <v>4571000</v>
      </c>
      <c r="M502" s="23">
        <f t="shared" ca="1" si="254"/>
        <v>4571000</v>
      </c>
      <c r="N502" s="23">
        <f t="shared" ca="1" si="254"/>
        <v>3465940.27</v>
      </c>
      <c r="O502" s="23">
        <f t="shared" ref="O502:O507" ca="1" si="255">IF(L502&gt;0,N502*100/L502,0)</f>
        <v>75.824551957996064</v>
      </c>
      <c r="P502" s="682">
        <f t="shared" ref="P502:P507" ca="1" si="256">IF(M502&gt;0,N502*100/M502,0)</f>
        <v>75.824551957996064</v>
      </c>
      <c r="Q502" s="480"/>
      <c r="R502" s="480"/>
      <c r="S502" s="480"/>
      <c r="T502" s="480"/>
      <c r="U502" s="480"/>
      <c r="V502" s="480"/>
      <c r="W502" s="480"/>
      <c r="X502" s="480"/>
      <c r="Y502" s="480"/>
      <c r="Z502" s="480"/>
    </row>
    <row r="503" spans="1:26" ht="20.25" customHeight="1">
      <c r="A503" s="808"/>
      <c r="B503" s="600"/>
      <c r="C503" s="600"/>
      <c r="D503" s="574"/>
      <c r="E503" s="600" t="s">
        <v>183</v>
      </c>
      <c r="F503" s="600"/>
      <c r="G503" s="479"/>
      <c r="H503" s="623" t="s">
        <v>12</v>
      </c>
      <c r="I503" s="216"/>
      <c r="J503" s="216"/>
      <c r="K503" s="63"/>
      <c r="L503" s="63">
        <f t="shared" ref="L503:N503" ca="1" si="257">L506+L513</f>
        <v>4571000</v>
      </c>
      <c r="M503" s="63">
        <f t="shared" ca="1" si="257"/>
        <v>4571000</v>
      </c>
      <c r="N503" s="63">
        <f t="shared" ca="1" si="257"/>
        <v>3465940.27</v>
      </c>
      <c r="O503" s="63">
        <f t="shared" ca="1" si="255"/>
        <v>75.824551957996064</v>
      </c>
      <c r="P503" s="684">
        <f t="shared" ca="1" si="256"/>
        <v>75.824551957996064</v>
      </c>
      <c r="Q503" s="480"/>
      <c r="R503" s="480"/>
      <c r="S503" s="480"/>
      <c r="T503" s="480"/>
      <c r="U503" s="480"/>
      <c r="V503" s="480"/>
      <c r="W503" s="480"/>
      <c r="X503" s="480"/>
      <c r="Y503" s="480"/>
      <c r="Z503" s="480"/>
    </row>
    <row r="504" spans="1:26" ht="20.25" customHeight="1">
      <c r="A504" s="808"/>
      <c r="B504" s="504"/>
      <c r="C504" s="600"/>
      <c r="D504" s="574"/>
      <c r="E504" s="600" t="s">
        <v>184</v>
      </c>
      <c r="F504" s="600"/>
      <c r="G504" s="479"/>
      <c r="H504" s="623" t="s">
        <v>12</v>
      </c>
      <c r="I504" s="216"/>
      <c r="J504" s="216"/>
      <c r="K504" s="63"/>
      <c r="L504" s="63">
        <f t="shared" ref="L504:N504" si="258">L507+L514</f>
        <v>0</v>
      </c>
      <c r="M504" s="63">
        <f t="shared" si="258"/>
        <v>0</v>
      </c>
      <c r="N504" s="63">
        <f t="shared" si="258"/>
        <v>0</v>
      </c>
      <c r="O504" s="63">
        <f t="shared" si="255"/>
        <v>0</v>
      </c>
      <c r="P504" s="684">
        <f t="shared" si="256"/>
        <v>0</v>
      </c>
      <c r="Q504" s="480"/>
      <c r="R504" s="480"/>
      <c r="S504" s="480"/>
      <c r="T504" s="480"/>
      <c r="U504" s="480"/>
      <c r="V504" s="480"/>
      <c r="W504" s="480"/>
      <c r="X504" s="480"/>
      <c r="Y504" s="480"/>
      <c r="Z504" s="480"/>
    </row>
    <row r="505" spans="1:26" ht="20.25" customHeight="1">
      <c r="A505" s="809"/>
      <c r="B505" s="499"/>
      <c r="C505" s="500"/>
      <c r="D505" s="501" t="s">
        <v>18</v>
      </c>
      <c r="E505" s="500"/>
      <c r="F505" s="500"/>
      <c r="G505" s="502"/>
      <c r="H505" s="114" t="s">
        <v>12</v>
      </c>
      <c r="I505" s="115"/>
      <c r="J505" s="115"/>
      <c r="K505" s="116"/>
      <c r="L505" s="23">
        <f t="shared" ref="L505:N505" ca="1" si="259">L506+L507</f>
        <v>4533000</v>
      </c>
      <c r="M505" s="23">
        <f t="shared" ca="1" si="259"/>
        <v>4533000</v>
      </c>
      <c r="N505" s="23">
        <f t="shared" ca="1" si="259"/>
        <v>3428940.27</v>
      </c>
      <c r="O505" s="23">
        <f t="shared" ca="1" si="255"/>
        <v>75.643950363997348</v>
      </c>
      <c r="P505" s="682">
        <f t="shared" ca="1" si="256"/>
        <v>75.643950363997348</v>
      </c>
      <c r="Q505" s="503"/>
      <c r="R505" s="503"/>
      <c r="S505" s="503"/>
      <c r="T505" s="503"/>
      <c r="U505" s="503"/>
      <c r="V505" s="503"/>
      <c r="W505" s="503"/>
      <c r="X505" s="503"/>
      <c r="Y505" s="503"/>
      <c r="Z505" s="503"/>
    </row>
    <row r="506" spans="1:26" ht="20.25" customHeight="1">
      <c r="A506" s="808"/>
      <c r="B506" s="504"/>
      <c r="C506" s="600"/>
      <c r="D506" s="574"/>
      <c r="E506" s="600" t="s">
        <v>183</v>
      </c>
      <c r="F506" s="600"/>
      <c r="G506" s="479"/>
      <c r="H506" s="623" t="s">
        <v>12</v>
      </c>
      <c r="I506" s="216"/>
      <c r="J506" s="216"/>
      <c r="K506" s="63"/>
      <c r="L506" s="63">
        <f ca="1">IFERROR(__xludf.DUMMYFUNCTION("IMPORTRANGE(""https://docs.google.com/spreadsheets/d/1QqKyyYR6Q21VydFLVH3TRQUabQu_ym0Zz7PgGX0-kHA/edit?usp=sharing"",""แผน!GJ11"")"),4533000)</f>
        <v>4533000</v>
      </c>
      <c r="M506" s="63">
        <f ca="1">L506</f>
        <v>4533000</v>
      </c>
      <c r="N506" s="63">
        <f ca="1">IFERROR(__xludf.DUMMYFUNCTION("IMPORTRANGE(""https://docs.google.com/spreadsheets/d/1WhzDrMlrZfqSjGYJh0xYjRtGVhp5LiCqlO7EaAHfOOk/edit?usp=sharing"",""sheet1!AD6"")"),3428940.27)</f>
        <v>3428940.27</v>
      </c>
      <c r="O506" s="63">
        <f t="shared" ca="1" si="255"/>
        <v>75.643950363997348</v>
      </c>
      <c r="P506" s="684">
        <f t="shared" ca="1" si="256"/>
        <v>75.643950363997348</v>
      </c>
      <c r="Q506" s="480"/>
      <c r="R506" s="480"/>
      <c r="S506" s="480"/>
      <c r="T506" s="480"/>
      <c r="U506" s="480"/>
      <c r="V506" s="480"/>
      <c r="W506" s="480"/>
      <c r="X506" s="480"/>
      <c r="Y506" s="480"/>
      <c r="Z506" s="480"/>
    </row>
    <row r="507" spans="1:26" ht="20.25" customHeight="1">
      <c r="A507" s="808"/>
      <c r="B507" s="504"/>
      <c r="C507" s="600"/>
      <c r="D507" s="574"/>
      <c r="E507" s="600" t="s">
        <v>184</v>
      </c>
      <c r="F507" s="600"/>
      <c r="G507" s="479"/>
      <c r="H507" s="623" t="s">
        <v>12</v>
      </c>
      <c r="I507" s="216"/>
      <c r="J507" s="216"/>
      <c r="K507" s="63"/>
      <c r="L507" s="63">
        <v>0</v>
      </c>
      <c r="M507" s="63">
        <v>0</v>
      </c>
      <c r="N507" s="63">
        <f>N508+N509+N510+N511</f>
        <v>0</v>
      </c>
      <c r="O507" s="63">
        <f t="shared" si="255"/>
        <v>0</v>
      </c>
      <c r="P507" s="684">
        <f t="shared" si="256"/>
        <v>0</v>
      </c>
      <c r="Q507" s="480"/>
      <c r="R507" s="480"/>
      <c r="S507" s="480"/>
      <c r="T507" s="480"/>
      <c r="U507" s="480"/>
      <c r="V507" s="480"/>
      <c r="W507" s="480"/>
      <c r="X507" s="480"/>
      <c r="Y507" s="480"/>
      <c r="Z507" s="480"/>
    </row>
    <row r="508" spans="1:26" ht="20.25" customHeight="1">
      <c r="A508" s="801"/>
      <c r="B508" s="504"/>
      <c r="C508" s="600"/>
      <c r="D508" s="600"/>
      <c r="E508" s="600"/>
      <c r="F508" s="600" t="s">
        <v>185</v>
      </c>
      <c r="G508" s="479"/>
      <c r="H508" s="623" t="s">
        <v>12</v>
      </c>
      <c r="I508" s="216"/>
      <c r="J508" s="216"/>
      <c r="K508" s="63"/>
      <c r="L508" s="63"/>
      <c r="M508" s="63"/>
      <c r="N508" s="63">
        <v>0</v>
      </c>
      <c r="O508" s="63"/>
      <c r="P508" s="684"/>
      <c r="Q508" s="480"/>
      <c r="R508" s="480"/>
      <c r="S508" s="480"/>
      <c r="T508" s="480"/>
      <c r="U508" s="480"/>
      <c r="V508" s="480"/>
      <c r="W508" s="480"/>
      <c r="X508" s="480"/>
      <c r="Y508" s="480"/>
      <c r="Z508" s="480"/>
    </row>
    <row r="509" spans="1:26" ht="20.25" customHeight="1">
      <c r="A509" s="801"/>
      <c r="B509" s="504"/>
      <c r="C509" s="600"/>
      <c r="D509" s="600"/>
      <c r="E509" s="600"/>
      <c r="F509" s="600" t="s">
        <v>186</v>
      </c>
      <c r="G509" s="479"/>
      <c r="H509" s="623" t="s">
        <v>12</v>
      </c>
      <c r="I509" s="216"/>
      <c r="J509" s="216"/>
      <c r="K509" s="63"/>
      <c r="L509" s="63"/>
      <c r="M509" s="63"/>
      <c r="N509" s="63">
        <v>0</v>
      </c>
      <c r="O509" s="63"/>
      <c r="P509" s="684"/>
      <c r="Q509" s="480"/>
      <c r="R509" s="480"/>
      <c r="S509" s="480"/>
      <c r="T509" s="480"/>
      <c r="U509" s="480"/>
      <c r="V509" s="480"/>
      <c r="W509" s="480"/>
      <c r="X509" s="480"/>
      <c r="Y509" s="480"/>
      <c r="Z509" s="480"/>
    </row>
    <row r="510" spans="1:26" ht="20.25" customHeight="1">
      <c r="A510" s="801"/>
      <c r="B510" s="504"/>
      <c r="C510" s="504"/>
      <c r="D510" s="504"/>
      <c r="E510" s="600"/>
      <c r="F510" s="600" t="s">
        <v>187</v>
      </c>
      <c r="G510" s="479"/>
      <c r="H510" s="623" t="s">
        <v>12</v>
      </c>
      <c r="I510" s="216"/>
      <c r="J510" s="216"/>
      <c r="K510" s="63"/>
      <c r="L510" s="63"/>
      <c r="M510" s="63"/>
      <c r="N510" s="63">
        <v>0</v>
      </c>
      <c r="O510" s="63"/>
      <c r="P510" s="684"/>
      <c r="Q510" s="480"/>
      <c r="R510" s="480"/>
      <c r="S510" s="480"/>
      <c r="T510" s="480"/>
      <c r="U510" s="480"/>
      <c r="V510" s="480"/>
      <c r="W510" s="480"/>
      <c r="X510" s="480"/>
      <c r="Y510" s="480"/>
      <c r="Z510" s="480"/>
    </row>
    <row r="511" spans="1:26" ht="20.25" customHeight="1">
      <c r="A511" s="801"/>
      <c r="B511" s="504"/>
      <c r="C511" s="504"/>
      <c r="D511" s="504"/>
      <c r="E511" s="600"/>
      <c r="F511" s="600" t="s">
        <v>188</v>
      </c>
      <c r="G511" s="479"/>
      <c r="H511" s="623" t="s">
        <v>12</v>
      </c>
      <c r="I511" s="216"/>
      <c r="J511" s="216"/>
      <c r="K511" s="63"/>
      <c r="L511" s="63"/>
      <c r="M511" s="63"/>
      <c r="N511" s="63">
        <v>0</v>
      </c>
      <c r="O511" s="63"/>
      <c r="P511" s="684"/>
      <c r="Q511" s="480"/>
      <c r="R511" s="480"/>
      <c r="S511" s="480"/>
      <c r="T511" s="480"/>
      <c r="U511" s="480"/>
      <c r="V511" s="480"/>
      <c r="W511" s="480"/>
      <c r="X511" s="480"/>
      <c r="Y511" s="480"/>
      <c r="Z511" s="480"/>
    </row>
    <row r="512" spans="1:26" ht="20.25" customHeight="1">
      <c r="A512" s="809"/>
      <c r="B512" s="499"/>
      <c r="C512" s="499"/>
      <c r="D512" s="501" t="s">
        <v>19</v>
      </c>
      <c r="E512" s="499"/>
      <c r="F512" s="500"/>
      <c r="G512" s="502"/>
      <c r="H512" s="118" t="s">
        <v>12</v>
      </c>
      <c r="I512" s="115"/>
      <c r="J512" s="115"/>
      <c r="K512" s="116"/>
      <c r="L512" s="23">
        <f t="shared" ref="L512:N512" ca="1" si="260">L513+L514</f>
        <v>38000</v>
      </c>
      <c r="M512" s="23">
        <f t="shared" ca="1" si="260"/>
        <v>38000</v>
      </c>
      <c r="N512" s="23">
        <f t="shared" ca="1" si="260"/>
        <v>37000</v>
      </c>
      <c r="O512" s="23">
        <f t="shared" ref="O512:O514" ca="1" si="261">IF(L512&gt;0,N512*100/L512,0)</f>
        <v>97.368421052631575</v>
      </c>
      <c r="P512" s="682">
        <f t="shared" ref="P512:P514" ca="1" si="262">IF(M512&gt;0,N512*100/M512,0)</f>
        <v>97.368421052631575</v>
      </c>
      <c r="Q512" s="503"/>
      <c r="R512" s="503"/>
      <c r="S512" s="503"/>
      <c r="T512" s="503"/>
      <c r="U512" s="503"/>
      <c r="V512" s="503"/>
      <c r="W512" s="503"/>
      <c r="X512" s="503"/>
      <c r="Y512" s="503"/>
      <c r="Z512" s="503"/>
    </row>
    <row r="513" spans="1:26" ht="20.25" customHeight="1">
      <c r="A513" s="808"/>
      <c r="B513" s="504"/>
      <c r="C513" s="504"/>
      <c r="D513" s="504"/>
      <c r="E513" s="504" t="s">
        <v>16</v>
      </c>
      <c r="F513" s="600"/>
      <c r="G513" s="479"/>
      <c r="H513" s="623" t="s">
        <v>12</v>
      </c>
      <c r="I513" s="128"/>
      <c r="J513" s="128"/>
      <c r="K513" s="117"/>
      <c r="L513" s="63">
        <f ca="1">IFERROR(__xludf.DUMMYFUNCTION("IMPORTRANGE(""https://docs.google.com/spreadsheets/d/1QqKyyYR6Q21VydFLVH3TRQUabQu_ym0Zz7PgGX0-kHA/edit?usp=sharing"",""แผน!GM11"")"),38000)</f>
        <v>38000</v>
      </c>
      <c r="M513" s="63">
        <f ca="1">L513</f>
        <v>38000</v>
      </c>
      <c r="N513" s="63">
        <f ca="1">IFERROR(__xludf.DUMMYFUNCTION("IMPORTRANGE(""https://docs.google.com/spreadsheets/d/1WhzDrMlrZfqSjGYJh0xYjRtGVhp5LiCqlO7EaAHfOOk/edit?usp=sharing"",""sheet1!AF6"")"),37000)</f>
        <v>37000</v>
      </c>
      <c r="O513" s="63">
        <f t="shared" ca="1" si="261"/>
        <v>97.368421052631575</v>
      </c>
      <c r="P513" s="684">
        <f t="shared" ca="1" si="262"/>
        <v>97.368421052631575</v>
      </c>
      <c r="Q513" s="480"/>
      <c r="R513" s="480"/>
      <c r="S513" s="480"/>
      <c r="T513" s="480"/>
      <c r="U513" s="480"/>
      <c r="V513" s="480"/>
      <c r="W513" s="480"/>
      <c r="X513" s="480"/>
      <c r="Y513" s="480"/>
      <c r="Z513" s="480"/>
    </row>
    <row r="514" spans="1:26" ht="20.25" customHeight="1">
      <c r="A514" s="808"/>
      <c r="B514" s="504"/>
      <c r="C514" s="504"/>
      <c r="D514" s="600"/>
      <c r="E514" s="504" t="s">
        <v>17</v>
      </c>
      <c r="F514" s="600"/>
      <c r="G514" s="479"/>
      <c r="H514" s="119" t="s">
        <v>12</v>
      </c>
      <c r="I514" s="128"/>
      <c r="J514" s="128"/>
      <c r="K514" s="117"/>
      <c r="L514" s="63">
        <v>0</v>
      </c>
      <c r="M514" s="63">
        <v>0</v>
      </c>
      <c r="N514" s="63">
        <v>0</v>
      </c>
      <c r="O514" s="63">
        <f t="shared" si="261"/>
        <v>0</v>
      </c>
      <c r="P514" s="684">
        <f t="shared" si="262"/>
        <v>0</v>
      </c>
      <c r="Q514" s="480"/>
      <c r="R514" s="480"/>
      <c r="S514" s="480"/>
      <c r="T514" s="480"/>
      <c r="U514" s="480"/>
      <c r="V514" s="480"/>
      <c r="W514" s="480"/>
      <c r="X514" s="480"/>
      <c r="Y514" s="480"/>
      <c r="Z514" s="480"/>
    </row>
    <row r="515" spans="1:26" ht="20.25" customHeight="1">
      <c r="A515" s="810"/>
      <c r="B515" s="508"/>
      <c r="C515" s="860" t="s">
        <v>14</v>
      </c>
      <c r="D515" s="525" t="s">
        <v>36</v>
      </c>
      <c r="E515" s="598"/>
      <c r="F515" s="598"/>
      <c r="G515" s="507"/>
      <c r="H515" s="599"/>
      <c r="I515" s="128"/>
      <c r="J515" s="128"/>
      <c r="K515" s="117"/>
      <c r="L515" s="117"/>
      <c r="M515" s="117"/>
      <c r="N515" s="117"/>
      <c r="O515" s="117"/>
      <c r="P515" s="718"/>
      <c r="Q515" s="480"/>
      <c r="R515" s="480"/>
      <c r="S515" s="480"/>
      <c r="T515" s="480"/>
      <c r="U515" s="480"/>
      <c r="V515" s="480"/>
      <c r="W515" s="480"/>
      <c r="X515" s="480"/>
      <c r="Y515" s="480"/>
      <c r="Z515" s="480"/>
    </row>
    <row r="516" spans="1:26" ht="20.25" customHeight="1">
      <c r="A516" s="810"/>
      <c r="B516" s="508"/>
      <c r="C516" s="508"/>
      <c r="D516" s="508" t="s">
        <v>220</v>
      </c>
      <c r="E516" s="574"/>
      <c r="F516" s="574"/>
      <c r="G516" s="599"/>
      <c r="H516" s="622" t="s">
        <v>107</v>
      </c>
      <c r="I516" s="216">
        <v>200000</v>
      </c>
      <c r="J516" s="216">
        <v>93490</v>
      </c>
      <c r="K516" s="117">
        <f t="shared" ref="K516:K517" si="263">IF(I516&gt;0,J516*100/I516,0)</f>
        <v>46.744999999999997</v>
      </c>
      <c r="L516" s="117"/>
      <c r="M516" s="117"/>
      <c r="N516" s="117"/>
      <c r="O516" s="117"/>
      <c r="P516" s="718"/>
      <c r="Q516" s="480"/>
      <c r="R516" s="480"/>
      <c r="S516" s="480"/>
      <c r="T516" s="480"/>
      <c r="U516" s="480"/>
      <c r="V516" s="480"/>
      <c r="W516" s="480"/>
      <c r="X516" s="480"/>
      <c r="Y516" s="480"/>
      <c r="Z516" s="480"/>
    </row>
    <row r="517" spans="1:26" ht="20.25" customHeight="1">
      <c r="A517" s="810"/>
      <c r="B517" s="508"/>
      <c r="C517" s="508"/>
      <c r="D517" s="508" t="s">
        <v>221</v>
      </c>
      <c r="E517" s="574"/>
      <c r="F517" s="574"/>
      <c r="G517" s="599"/>
      <c r="H517" s="127" t="s">
        <v>33</v>
      </c>
      <c r="I517" s="526">
        <v>100</v>
      </c>
      <c r="J517" s="526">
        <f>J518+J519</f>
        <v>233</v>
      </c>
      <c r="K517" s="116">
        <f t="shared" si="263"/>
        <v>233</v>
      </c>
      <c r="L517" s="117"/>
      <c r="M517" s="117"/>
      <c r="N517" s="117"/>
      <c r="O517" s="117"/>
      <c r="P517" s="718"/>
      <c r="Q517" s="480"/>
      <c r="R517" s="480"/>
      <c r="S517" s="480"/>
      <c r="T517" s="480"/>
      <c r="U517" s="480"/>
      <c r="V517" s="480"/>
      <c r="W517" s="480"/>
      <c r="X517" s="480"/>
      <c r="Y517" s="480"/>
      <c r="Z517" s="480"/>
    </row>
    <row r="518" spans="1:26" ht="20.25" customHeight="1">
      <c r="A518" s="810"/>
      <c r="B518" s="508"/>
      <c r="C518" s="508"/>
      <c r="D518" s="508"/>
      <c r="E518" s="508" t="s">
        <v>222</v>
      </c>
      <c r="F518" s="574"/>
      <c r="G518" s="599"/>
      <c r="H518" s="601" t="s">
        <v>33</v>
      </c>
      <c r="I518" s="216"/>
      <c r="J518" s="216">
        <v>77</v>
      </c>
      <c r="K518" s="117"/>
      <c r="L518" s="117"/>
      <c r="M518" s="117"/>
      <c r="N518" s="117"/>
      <c r="O518" s="117"/>
      <c r="P518" s="718"/>
      <c r="Q518" s="480"/>
      <c r="R518" s="480"/>
      <c r="S518" s="480"/>
      <c r="T518" s="480"/>
      <c r="U518" s="480"/>
      <c r="V518" s="480"/>
      <c r="W518" s="480"/>
      <c r="X518" s="480"/>
      <c r="Y518" s="480"/>
      <c r="Z518" s="480"/>
    </row>
    <row r="519" spans="1:26" ht="20.25" customHeight="1">
      <c r="A519" s="810"/>
      <c r="B519" s="508"/>
      <c r="C519" s="508"/>
      <c r="D519" s="508"/>
      <c r="E519" s="508" t="s">
        <v>223</v>
      </c>
      <c r="F519" s="574"/>
      <c r="G519" s="599"/>
      <c r="H519" s="622" t="s">
        <v>33</v>
      </c>
      <c r="I519" s="216"/>
      <c r="J519" s="216">
        <v>156</v>
      </c>
      <c r="K519" s="117"/>
      <c r="L519" s="117"/>
      <c r="M519" s="117"/>
      <c r="N519" s="117"/>
      <c r="O519" s="117"/>
      <c r="P519" s="718"/>
      <c r="Q519" s="480"/>
      <c r="R519" s="480"/>
      <c r="S519" s="480"/>
      <c r="T519" s="480"/>
      <c r="U519" s="480"/>
      <c r="V519" s="480"/>
      <c r="W519" s="480"/>
      <c r="X519" s="480"/>
      <c r="Y519" s="480"/>
      <c r="Z519" s="480"/>
    </row>
    <row r="520" spans="1:26" ht="20.25" customHeight="1">
      <c r="A520" s="813" t="s">
        <v>135</v>
      </c>
      <c r="B520" s="527"/>
      <c r="C520" s="527"/>
      <c r="D520" s="528"/>
      <c r="E520" s="528"/>
      <c r="F520" s="528"/>
      <c r="G520" s="529"/>
      <c r="H520" s="530"/>
      <c r="I520" s="531"/>
      <c r="J520" s="531"/>
      <c r="K520" s="532"/>
      <c r="L520" s="532"/>
      <c r="M520" s="532"/>
      <c r="N520" s="532"/>
      <c r="O520" s="532"/>
      <c r="P520" s="81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815">
        <v>5</v>
      </c>
      <c r="B521" s="533" t="s">
        <v>224</v>
      </c>
      <c r="C521" s="534"/>
      <c r="D521" s="535"/>
      <c r="E521" s="535"/>
      <c r="F521" s="535"/>
      <c r="G521" s="535"/>
      <c r="H521" s="536"/>
      <c r="I521" s="537"/>
      <c r="J521" s="537"/>
      <c r="K521" s="538"/>
      <c r="L521" s="538"/>
      <c r="M521" s="538"/>
      <c r="N521" s="538"/>
      <c r="O521" s="538"/>
      <c r="P521" s="816"/>
      <c r="Q521" s="480"/>
      <c r="R521" s="480"/>
      <c r="S521" s="480"/>
      <c r="T521" s="480"/>
      <c r="U521" s="480"/>
      <c r="V521" s="480"/>
      <c r="W521" s="480"/>
      <c r="X521" s="480"/>
      <c r="Y521" s="480"/>
      <c r="Z521" s="480"/>
    </row>
    <row r="522" spans="1:26" ht="20.25" customHeight="1">
      <c r="A522" s="817"/>
      <c r="B522" s="539" t="s">
        <v>225</v>
      </c>
      <c r="C522" s="540"/>
      <c r="D522" s="540"/>
      <c r="E522" s="540"/>
      <c r="F522" s="540"/>
      <c r="G522" s="541"/>
      <c r="H522" s="542" t="s">
        <v>33</v>
      </c>
      <c r="I522" s="565">
        <f t="shared" ref="I522:J522" ca="1" si="264">I537</f>
        <v>500</v>
      </c>
      <c r="J522" s="565">
        <f t="shared" ca="1" si="264"/>
        <v>500</v>
      </c>
      <c r="K522" s="543">
        <f ca="1">IF(I522&gt;0,J522*100/I522,0)</f>
        <v>100</v>
      </c>
      <c r="L522" s="544"/>
      <c r="M522" s="544"/>
      <c r="N522" s="544"/>
      <c r="O522" s="544"/>
      <c r="P522" s="818"/>
      <c r="Q522" s="480"/>
      <c r="R522" s="480"/>
      <c r="S522" s="480"/>
      <c r="T522" s="480"/>
      <c r="U522" s="480"/>
      <c r="V522" s="480"/>
      <c r="W522" s="480"/>
      <c r="X522" s="480"/>
      <c r="Y522" s="480"/>
      <c r="Z522" s="480"/>
    </row>
    <row r="523" spans="1:26" ht="20.25" customHeight="1">
      <c r="A523" s="808"/>
      <c r="B523" s="600"/>
      <c r="C523" s="860" t="s">
        <v>14</v>
      </c>
      <c r="D523" s="861" t="s">
        <v>15</v>
      </c>
      <c r="E523" s="862"/>
      <c r="F523" s="862"/>
      <c r="G523" s="479"/>
      <c r="H523" s="114" t="s">
        <v>12</v>
      </c>
      <c r="I523" s="216"/>
      <c r="J523" s="216"/>
      <c r="K523" s="63"/>
      <c r="L523" s="23">
        <f t="shared" ref="L523:N523" ca="1" si="265">L524+L525</f>
        <v>6185000</v>
      </c>
      <c r="M523" s="23">
        <f t="shared" ca="1" si="265"/>
        <v>6185000</v>
      </c>
      <c r="N523" s="23">
        <f t="shared" ca="1" si="265"/>
        <v>4050164.2100000004</v>
      </c>
      <c r="O523" s="23">
        <f t="shared" ref="O523:O528" ca="1" si="266">IF(L523&gt;0,N523*100/L523,0)</f>
        <v>65.483657396928066</v>
      </c>
      <c r="P523" s="682">
        <f t="shared" ref="P523:P528" ca="1" si="267">IF(M523&gt;0,N523*100/M523,0)</f>
        <v>65.483657396928066</v>
      </c>
      <c r="Q523" s="480"/>
      <c r="R523" s="480"/>
      <c r="S523" s="480"/>
      <c r="T523" s="480"/>
      <c r="U523" s="480"/>
      <c r="V523" s="480"/>
      <c r="W523" s="480"/>
      <c r="X523" s="480"/>
      <c r="Y523" s="480"/>
      <c r="Z523" s="480"/>
    </row>
    <row r="524" spans="1:26" ht="20.25" customHeight="1">
      <c r="A524" s="808"/>
      <c r="B524" s="600"/>
      <c r="C524" s="600"/>
      <c r="D524" s="574"/>
      <c r="E524" s="600" t="s">
        <v>183</v>
      </c>
      <c r="F524" s="600"/>
      <c r="G524" s="479"/>
      <c r="H524" s="623" t="s">
        <v>12</v>
      </c>
      <c r="I524" s="216"/>
      <c r="J524" s="216"/>
      <c r="K524" s="63"/>
      <c r="L524" s="63">
        <f t="shared" ref="L524:N524" ca="1" si="268">L527+L534</f>
        <v>1870400</v>
      </c>
      <c r="M524" s="63">
        <f t="shared" ca="1" si="268"/>
        <v>1870400</v>
      </c>
      <c r="N524" s="63">
        <f t="shared" ca="1" si="268"/>
        <v>807591.39</v>
      </c>
      <c r="O524" s="63">
        <f t="shared" ca="1" si="266"/>
        <v>43.177469525235246</v>
      </c>
      <c r="P524" s="684">
        <f t="shared" ca="1" si="267"/>
        <v>43.177469525235246</v>
      </c>
      <c r="Q524" s="480"/>
      <c r="R524" s="480"/>
      <c r="S524" s="480"/>
      <c r="T524" s="480"/>
      <c r="U524" s="480"/>
      <c r="V524" s="480"/>
      <c r="W524" s="480"/>
      <c r="X524" s="480"/>
      <c r="Y524" s="480"/>
      <c r="Z524" s="480"/>
    </row>
    <row r="525" spans="1:26" ht="20.25" customHeight="1">
      <c r="A525" s="808"/>
      <c r="B525" s="504"/>
      <c r="C525" s="600"/>
      <c r="D525" s="574"/>
      <c r="E525" s="600" t="s">
        <v>184</v>
      </c>
      <c r="F525" s="600"/>
      <c r="G525" s="479"/>
      <c r="H525" s="623" t="s">
        <v>12</v>
      </c>
      <c r="I525" s="216"/>
      <c r="J525" s="216"/>
      <c r="K525" s="63"/>
      <c r="L525" s="63">
        <f t="shared" ref="L525:N525" ca="1" si="269">L528+L535</f>
        <v>4314600</v>
      </c>
      <c r="M525" s="63">
        <f t="shared" ca="1" si="269"/>
        <v>4314600</v>
      </c>
      <c r="N525" s="63">
        <f t="shared" ca="1" si="269"/>
        <v>3242572.8200000003</v>
      </c>
      <c r="O525" s="63">
        <f t="shared" ca="1" si="266"/>
        <v>75.153497890882122</v>
      </c>
      <c r="P525" s="684">
        <f t="shared" ca="1" si="267"/>
        <v>75.153497890882122</v>
      </c>
      <c r="Q525" s="480"/>
      <c r="R525" s="480"/>
      <c r="S525" s="480"/>
      <c r="T525" s="480"/>
      <c r="U525" s="480"/>
      <c r="V525" s="480"/>
      <c r="W525" s="480"/>
      <c r="X525" s="480"/>
      <c r="Y525" s="480"/>
      <c r="Z525" s="480"/>
    </row>
    <row r="526" spans="1:26" ht="20.25" customHeight="1">
      <c r="A526" s="809"/>
      <c r="B526" s="499"/>
      <c r="C526" s="500"/>
      <c r="D526" s="501" t="s">
        <v>18</v>
      </c>
      <c r="E526" s="500"/>
      <c r="F526" s="500"/>
      <c r="G526" s="502"/>
      <c r="H526" s="114" t="s">
        <v>12</v>
      </c>
      <c r="I526" s="115"/>
      <c r="J526" s="115"/>
      <c r="K526" s="116"/>
      <c r="L526" s="23">
        <f t="shared" ref="L526:N526" ca="1" si="270">L527+L528</f>
        <v>6185000</v>
      </c>
      <c r="M526" s="23">
        <f t="shared" ca="1" si="270"/>
        <v>6185000</v>
      </c>
      <c r="N526" s="23">
        <f t="shared" ca="1" si="270"/>
        <v>4050164.2100000004</v>
      </c>
      <c r="O526" s="23">
        <f t="shared" ca="1" si="266"/>
        <v>65.483657396928066</v>
      </c>
      <c r="P526" s="682">
        <f t="shared" ca="1" si="267"/>
        <v>65.483657396928066</v>
      </c>
      <c r="Q526" s="503"/>
      <c r="R526" s="503"/>
      <c r="S526" s="503"/>
      <c r="T526" s="503"/>
      <c r="U526" s="503"/>
      <c r="V526" s="503"/>
      <c r="W526" s="503"/>
      <c r="X526" s="503"/>
      <c r="Y526" s="503"/>
      <c r="Z526" s="503"/>
    </row>
    <row r="527" spans="1:26" ht="20.25" customHeight="1">
      <c r="A527" s="808"/>
      <c r="B527" s="504"/>
      <c r="C527" s="600"/>
      <c r="D527" s="574"/>
      <c r="E527" s="600" t="s">
        <v>183</v>
      </c>
      <c r="F527" s="600"/>
      <c r="G527" s="479"/>
      <c r="H527" s="623" t="s">
        <v>12</v>
      </c>
      <c r="I527" s="216"/>
      <c r="J527" s="216"/>
      <c r="K527" s="63"/>
      <c r="L527" s="63">
        <f ca="1">IFERROR(__xludf.DUMMYFUNCTION("IMPORTRANGE(""https://docs.google.com/spreadsheets/d/1QqKyyYR6Q21VydFLVH3TRQUabQu_ym0Zz7PgGX0-kHA/edit?usp=sharing"",""แผน!GQ11"")"),1870400)</f>
        <v>1870400</v>
      </c>
      <c r="M527" s="63">
        <f ca="1">L527</f>
        <v>1870400</v>
      </c>
      <c r="N527" s="63">
        <f ca="1">IFERROR(__xludf.DUMMYFUNCTION("IMPORTRANGE(""https://docs.google.com/spreadsheets/d/1WhzDrMlrZfqSjGYJh0xYjRtGVhp5LiCqlO7EaAHfOOk/edit?usp=sharing"",""sheet1!AK6"")"),807591.39)</f>
        <v>807591.39</v>
      </c>
      <c r="O527" s="63">
        <f t="shared" ca="1" si="266"/>
        <v>43.177469525235246</v>
      </c>
      <c r="P527" s="684">
        <f t="shared" ca="1" si="267"/>
        <v>43.177469525235246</v>
      </c>
      <c r="Q527" s="480"/>
      <c r="R527" s="480"/>
      <c r="S527" s="480"/>
      <c r="T527" s="480"/>
      <c r="U527" s="480"/>
      <c r="V527" s="480"/>
      <c r="W527" s="480"/>
      <c r="X527" s="480"/>
      <c r="Y527" s="480"/>
      <c r="Z527" s="480"/>
    </row>
    <row r="528" spans="1:26" ht="20.25" customHeight="1">
      <c r="A528" s="808"/>
      <c r="B528" s="504"/>
      <c r="C528" s="600"/>
      <c r="D528" s="574"/>
      <c r="E528" s="600" t="s">
        <v>184</v>
      </c>
      <c r="F528" s="600"/>
      <c r="G528" s="479"/>
      <c r="H528" s="623" t="s">
        <v>12</v>
      </c>
      <c r="I528" s="216"/>
      <c r="J528" s="216"/>
      <c r="K528" s="63"/>
      <c r="L528" s="63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63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63">
        <f ca="1">N529+N530+N531+N532</f>
        <v>3242572.8200000003</v>
      </c>
      <c r="O528" s="63">
        <f t="shared" ca="1" si="266"/>
        <v>75.153497890882122</v>
      </c>
      <c r="P528" s="684">
        <f t="shared" ca="1" si="267"/>
        <v>75.153497890882122</v>
      </c>
      <c r="Q528" s="480"/>
      <c r="R528" s="480"/>
      <c r="S528" s="480"/>
      <c r="T528" s="480"/>
      <c r="U528" s="480"/>
      <c r="V528" s="480"/>
      <c r="W528" s="480"/>
      <c r="X528" s="480"/>
      <c r="Y528" s="480"/>
      <c r="Z528" s="480"/>
    </row>
    <row r="529" spans="1:26" ht="20.25" customHeight="1">
      <c r="A529" s="801"/>
      <c r="B529" s="504"/>
      <c r="C529" s="600"/>
      <c r="D529" s="600"/>
      <c r="E529" s="600"/>
      <c r="F529" s="600" t="s">
        <v>185</v>
      </c>
      <c r="G529" s="479"/>
      <c r="H529" s="623" t="s">
        <v>12</v>
      </c>
      <c r="I529" s="216"/>
      <c r="J529" s="216"/>
      <c r="K529" s="63"/>
      <c r="L529" s="63"/>
      <c r="M529" s="63"/>
      <c r="N529" s="227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1216575)</f>
        <v>1216575</v>
      </c>
      <c r="O529" s="63"/>
      <c r="P529" s="684"/>
      <c r="Q529" s="480"/>
      <c r="R529" s="480"/>
      <c r="S529" s="480"/>
      <c r="T529" s="480"/>
      <c r="U529" s="480"/>
      <c r="V529" s="480"/>
      <c r="W529" s="480"/>
      <c r="X529" s="480"/>
      <c r="Y529" s="480"/>
      <c r="Z529" s="480"/>
    </row>
    <row r="530" spans="1:26" ht="20.25" customHeight="1">
      <c r="A530" s="801"/>
      <c r="B530" s="504"/>
      <c r="C530" s="600"/>
      <c r="D530" s="600"/>
      <c r="E530" s="600"/>
      <c r="F530" s="600" t="s">
        <v>186</v>
      </c>
      <c r="G530" s="479"/>
      <c r="H530" s="623" t="s">
        <v>12</v>
      </c>
      <c r="I530" s="216"/>
      <c r="J530" s="216"/>
      <c r="K530" s="63"/>
      <c r="L530" s="63"/>
      <c r="M530" s="63"/>
      <c r="N530" s="227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1745706.82)</f>
        <v>1745706.82</v>
      </c>
      <c r="O530" s="63"/>
      <c r="P530" s="684"/>
      <c r="Q530" s="480"/>
      <c r="R530" s="480"/>
      <c r="S530" s="480"/>
      <c r="T530" s="480"/>
      <c r="U530" s="480"/>
      <c r="V530" s="480"/>
      <c r="W530" s="480"/>
      <c r="X530" s="480"/>
      <c r="Y530" s="480"/>
      <c r="Z530" s="480"/>
    </row>
    <row r="531" spans="1:26" ht="20.25" customHeight="1">
      <c r="A531" s="801"/>
      <c r="B531" s="504"/>
      <c r="C531" s="600"/>
      <c r="D531" s="600"/>
      <c r="E531" s="600"/>
      <c r="F531" s="600" t="s">
        <v>187</v>
      </c>
      <c r="G531" s="479"/>
      <c r="H531" s="623" t="s">
        <v>12</v>
      </c>
      <c r="I531" s="216"/>
      <c r="J531" s="216"/>
      <c r="K531" s="63"/>
      <c r="L531" s="63"/>
      <c r="M531" s="63"/>
      <c r="N531" s="227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63"/>
      <c r="P531" s="684"/>
      <c r="Q531" s="480"/>
      <c r="R531" s="480"/>
      <c r="S531" s="480"/>
      <c r="T531" s="480"/>
      <c r="U531" s="480"/>
      <c r="V531" s="480"/>
      <c r="W531" s="480"/>
      <c r="X531" s="480"/>
      <c r="Y531" s="480"/>
      <c r="Z531" s="480"/>
    </row>
    <row r="532" spans="1:26" ht="20.25" customHeight="1">
      <c r="A532" s="801"/>
      <c r="B532" s="504"/>
      <c r="C532" s="600"/>
      <c r="D532" s="600"/>
      <c r="E532" s="600"/>
      <c r="F532" s="600" t="s">
        <v>188</v>
      </c>
      <c r="G532" s="479"/>
      <c r="H532" s="623" t="s">
        <v>12</v>
      </c>
      <c r="I532" s="216"/>
      <c r="J532" s="216"/>
      <c r="K532" s="63"/>
      <c r="L532" s="63"/>
      <c r="M532" s="63"/>
      <c r="N532" s="227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280291)</f>
        <v>280291</v>
      </c>
      <c r="O532" s="63"/>
      <c r="P532" s="684"/>
      <c r="Q532" s="480"/>
      <c r="R532" s="480"/>
      <c r="S532" s="480"/>
      <c r="T532" s="480"/>
      <c r="U532" s="480"/>
      <c r="V532" s="480"/>
      <c r="W532" s="480"/>
      <c r="X532" s="480"/>
      <c r="Y532" s="480"/>
      <c r="Z532" s="480"/>
    </row>
    <row r="533" spans="1:26" ht="20.25" customHeight="1">
      <c r="A533" s="809"/>
      <c r="B533" s="499"/>
      <c r="C533" s="500"/>
      <c r="D533" s="501" t="s">
        <v>19</v>
      </c>
      <c r="E533" s="500"/>
      <c r="F533" s="500"/>
      <c r="G533" s="502"/>
      <c r="H533" s="118" t="s">
        <v>12</v>
      </c>
      <c r="I533" s="115"/>
      <c r="J533" s="115"/>
      <c r="K533" s="116"/>
      <c r="L533" s="23">
        <f t="shared" ref="L533:N533" ca="1" si="271">L534+L535</f>
        <v>0</v>
      </c>
      <c r="M533" s="23">
        <f t="shared" si="271"/>
        <v>0</v>
      </c>
      <c r="N533" s="23">
        <f t="shared" ca="1" si="271"/>
        <v>0</v>
      </c>
      <c r="O533" s="23">
        <f t="shared" ref="O533:O535" ca="1" si="272">IF(L533&gt;0,N533*100/L533,0)</f>
        <v>0</v>
      </c>
      <c r="P533" s="682">
        <f t="shared" ref="P533:P535" si="273">IF(M533&gt;0,N533*100/M533,0)</f>
        <v>0</v>
      </c>
      <c r="Q533" s="503"/>
      <c r="R533" s="503"/>
      <c r="S533" s="503"/>
      <c r="T533" s="503"/>
      <c r="U533" s="503"/>
      <c r="V533" s="503"/>
      <c r="W533" s="503"/>
      <c r="X533" s="503"/>
      <c r="Y533" s="503"/>
      <c r="Z533" s="503"/>
    </row>
    <row r="534" spans="1:26" ht="20.25" customHeight="1">
      <c r="A534" s="808"/>
      <c r="B534" s="504"/>
      <c r="C534" s="600"/>
      <c r="D534" s="600"/>
      <c r="E534" s="600" t="s">
        <v>16</v>
      </c>
      <c r="F534" s="600"/>
      <c r="G534" s="479"/>
      <c r="H534" s="623" t="s">
        <v>12</v>
      </c>
      <c r="I534" s="128"/>
      <c r="J534" s="128"/>
      <c r="K534" s="117"/>
      <c r="L534" s="63">
        <v>0</v>
      </c>
      <c r="M534" s="63">
        <v>0</v>
      </c>
      <c r="N534" s="63">
        <f ca="1">IFERROR(__xludf.DUMMYFUNCTION("IMPORTRANGE(""https://docs.google.com/spreadsheets/d/1WhzDrMlrZfqSjGYJh0xYjRtGVhp5LiCqlO7EaAHfOOk/edit?usp=sharing"",""sheet1!AM6"")"),0)</f>
        <v>0</v>
      </c>
      <c r="O534" s="63">
        <f t="shared" si="272"/>
        <v>0</v>
      </c>
      <c r="P534" s="684">
        <f t="shared" si="273"/>
        <v>0</v>
      </c>
      <c r="Q534" s="480"/>
      <c r="R534" s="480"/>
      <c r="S534" s="480"/>
      <c r="T534" s="480"/>
      <c r="U534" s="480"/>
      <c r="V534" s="480"/>
      <c r="W534" s="480"/>
      <c r="X534" s="480"/>
      <c r="Y534" s="480"/>
      <c r="Z534" s="480"/>
    </row>
    <row r="535" spans="1:26" ht="20.25" customHeight="1">
      <c r="A535" s="808"/>
      <c r="B535" s="504"/>
      <c r="C535" s="600"/>
      <c r="D535" s="600"/>
      <c r="E535" s="600" t="s">
        <v>17</v>
      </c>
      <c r="F535" s="600"/>
      <c r="G535" s="479"/>
      <c r="H535" s="119" t="s">
        <v>12</v>
      </c>
      <c r="I535" s="128"/>
      <c r="J535" s="128"/>
      <c r="K535" s="117"/>
      <c r="L535" s="63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63">
        <v>0</v>
      </c>
      <c r="N535" s="63">
        <v>0</v>
      </c>
      <c r="O535" s="63">
        <f t="shared" ca="1" si="272"/>
        <v>0</v>
      </c>
      <c r="P535" s="684">
        <f t="shared" si="273"/>
        <v>0</v>
      </c>
      <c r="Q535" s="480"/>
      <c r="R535" s="480"/>
      <c r="S535" s="480"/>
      <c r="T535" s="480"/>
      <c r="U535" s="480"/>
      <c r="V535" s="480"/>
      <c r="W535" s="480"/>
      <c r="X535" s="480"/>
      <c r="Y535" s="480"/>
      <c r="Z535" s="480"/>
    </row>
    <row r="536" spans="1:26" ht="20.25" customHeight="1">
      <c r="A536" s="810"/>
      <c r="B536" s="508"/>
      <c r="C536" s="860" t="s">
        <v>14</v>
      </c>
      <c r="D536" s="525" t="s">
        <v>36</v>
      </c>
      <c r="E536" s="598"/>
      <c r="F536" s="598"/>
      <c r="G536" s="507"/>
      <c r="H536" s="599"/>
      <c r="I536" s="128"/>
      <c r="J536" s="128"/>
      <c r="K536" s="117"/>
      <c r="L536" s="117"/>
      <c r="M536" s="117"/>
      <c r="N536" s="117"/>
      <c r="O536" s="117"/>
      <c r="P536" s="718"/>
      <c r="Q536" s="480"/>
      <c r="R536" s="480"/>
      <c r="S536" s="480"/>
      <c r="T536" s="480"/>
      <c r="U536" s="480"/>
      <c r="V536" s="480"/>
      <c r="W536" s="480"/>
      <c r="X536" s="480"/>
      <c r="Y536" s="480"/>
      <c r="Z536" s="480"/>
    </row>
    <row r="537" spans="1:26" ht="20.25" customHeight="1">
      <c r="A537" s="801"/>
      <c r="B537" s="504"/>
      <c r="C537" s="600"/>
      <c r="D537" s="600" t="s">
        <v>226</v>
      </c>
      <c r="E537" s="600"/>
      <c r="F537" s="600"/>
      <c r="G537" s="479"/>
      <c r="H537" s="228" t="s">
        <v>33</v>
      </c>
      <c r="I537" s="526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526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23">
        <f t="shared" ref="K537:K543" ca="1" si="274">IF(I537&gt;0,J537*100/I537,0)</f>
        <v>100</v>
      </c>
      <c r="L537" s="63"/>
      <c r="M537" s="63"/>
      <c r="N537" s="63"/>
      <c r="O537" s="63"/>
      <c r="P537" s="684"/>
      <c r="Q537" s="545"/>
      <c r="R537" s="545"/>
      <c r="S537" s="545"/>
      <c r="T537" s="545"/>
      <c r="U537" s="545"/>
      <c r="V537" s="545"/>
      <c r="W537" s="545"/>
      <c r="X537" s="545"/>
      <c r="Y537" s="545"/>
      <c r="Z537" s="545"/>
    </row>
    <row r="538" spans="1:26" ht="20.25" customHeight="1">
      <c r="A538" s="801"/>
      <c r="B538" s="504"/>
      <c r="C538" s="600"/>
      <c r="D538" s="600"/>
      <c r="E538" s="600" t="s">
        <v>227</v>
      </c>
      <c r="F538" s="600"/>
      <c r="G538" s="479"/>
      <c r="H538" s="228" t="s">
        <v>33</v>
      </c>
      <c r="I538" s="216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4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63">
        <f t="shared" ca="1" si="274"/>
        <v>100</v>
      </c>
      <c r="L538" s="63"/>
      <c r="M538" s="63"/>
      <c r="N538" s="63"/>
      <c r="O538" s="63"/>
      <c r="P538" s="684"/>
      <c r="Q538" s="545"/>
      <c r="R538" s="545"/>
      <c r="S538" s="545"/>
      <c r="T538" s="545"/>
      <c r="U538" s="545"/>
      <c r="V538" s="545"/>
      <c r="W538" s="545"/>
      <c r="X538" s="545"/>
      <c r="Y538" s="545"/>
      <c r="Z538" s="545"/>
    </row>
    <row r="539" spans="1:26" ht="20.25" customHeight="1">
      <c r="A539" s="801"/>
      <c r="B539" s="504"/>
      <c r="C539" s="600"/>
      <c r="D539" s="600"/>
      <c r="E539" s="600" t="s">
        <v>228</v>
      </c>
      <c r="F539" s="600"/>
      <c r="G539" s="479"/>
      <c r="H539" s="228" t="s">
        <v>33</v>
      </c>
      <c r="I539" s="216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4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63">
        <f t="shared" ca="1" si="274"/>
        <v>100</v>
      </c>
      <c r="L539" s="63"/>
      <c r="M539" s="63"/>
      <c r="N539" s="63"/>
      <c r="O539" s="63"/>
      <c r="P539" s="684"/>
      <c r="Q539" s="545"/>
      <c r="R539" s="545"/>
      <c r="S539" s="545"/>
      <c r="T539" s="545"/>
      <c r="U539" s="545"/>
      <c r="V539" s="545"/>
      <c r="W539" s="545"/>
      <c r="X539" s="545"/>
      <c r="Y539" s="545"/>
      <c r="Z539" s="545"/>
    </row>
    <row r="540" spans="1:26" ht="20.25" customHeight="1">
      <c r="A540" s="801"/>
      <c r="B540" s="504"/>
      <c r="C540" s="600"/>
      <c r="D540" s="600"/>
      <c r="E540" s="600" t="s">
        <v>229</v>
      </c>
      <c r="F540" s="600"/>
      <c r="G540" s="479"/>
      <c r="H540" s="228" t="s">
        <v>33</v>
      </c>
      <c r="I540" s="216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4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63">
        <f t="shared" ca="1" si="274"/>
        <v>100</v>
      </c>
      <c r="L540" s="63"/>
      <c r="M540" s="63"/>
      <c r="N540" s="63"/>
      <c r="O540" s="63"/>
      <c r="P540" s="684"/>
      <c r="Q540" s="545"/>
      <c r="R540" s="545"/>
      <c r="S540" s="545"/>
      <c r="T540" s="545"/>
      <c r="U540" s="545"/>
      <c r="V540" s="545"/>
      <c r="W540" s="545"/>
      <c r="X540" s="545"/>
      <c r="Y540" s="545"/>
      <c r="Z540" s="545"/>
    </row>
    <row r="541" spans="1:26" ht="20.25" customHeight="1">
      <c r="A541" s="801"/>
      <c r="B541" s="504"/>
      <c r="C541" s="600"/>
      <c r="D541" s="600"/>
      <c r="E541" s="606" t="s">
        <v>230</v>
      </c>
      <c r="F541" s="600"/>
      <c r="G541" s="479"/>
      <c r="H541" s="228" t="s">
        <v>33</v>
      </c>
      <c r="I541" s="216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4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63">
        <f t="shared" ca="1" si="274"/>
        <v>100</v>
      </c>
      <c r="L541" s="63"/>
      <c r="M541" s="63"/>
      <c r="N541" s="63"/>
      <c r="O541" s="63"/>
      <c r="P541" s="684"/>
      <c r="Q541" s="545"/>
      <c r="R541" s="545"/>
      <c r="S541" s="545"/>
      <c r="T541" s="545"/>
      <c r="U541" s="545"/>
      <c r="V541" s="545"/>
      <c r="W541" s="545"/>
      <c r="X541" s="545"/>
      <c r="Y541" s="545"/>
      <c r="Z541" s="545"/>
    </row>
    <row r="542" spans="1:26" ht="20.25" customHeight="1">
      <c r="A542" s="801"/>
      <c r="B542" s="504"/>
      <c r="C542" s="600"/>
      <c r="D542" s="600" t="s">
        <v>57</v>
      </c>
      <c r="E542" s="600"/>
      <c r="F542" s="600"/>
      <c r="G542" s="479"/>
      <c r="H542" s="228" t="s">
        <v>33</v>
      </c>
      <c r="I542" s="216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4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370)</f>
        <v>370</v>
      </c>
      <c r="K542" s="63">
        <f t="shared" ca="1" si="274"/>
        <v>74</v>
      </c>
      <c r="L542" s="63"/>
      <c r="M542" s="63"/>
      <c r="N542" s="63"/>
      <c r="O542" s="63"/>
      <c r="P542" s="684"/>
      <c r="Q542" s="545"/>
      <c r="R542" s="545"/>
      <c r="S542" s="545"/>
      <c r="T542" s="545"/>
      <c r="U542" s="545"/>
      <c r="V542" s="545"/>
      <c r="W542" s="545"/>
      <c r="X542" s="545"/>
      <c r="Y542" s="545"/>
      <c r="Z542" s="545"/>
    </row>
    <row r="543" spans="1:26" ht="20.25" customHeight="1">
      <c r="A543" s="815">
        <v>6</v>
      </c>
      <c r="B543" s="546" t="s">
        <v>231</v>
      </c>
      <c r="C543" s="535"/>
      <c r="D543" s="535"/>
      <c r="E543" s="535"/>
      <c r="F543" s="535"/>
      <c r="G543" s="536"/>
      <c r="H543" s="547" t="s">
        <v>44</v>
      </c>
      <c r="I543" s="548">
        <f t="shared" ref="I543:J543" ca="1" si="275">I559</f>
        <v>2607047</v>
      </c>
      <c r="J543" s="548">
        <f t="shared" ca="1" si="275"/>
        <v>1796153.5719999999</v>
      </c>
      <c r="K543" s="549">
        <f t="shared" ca="1" si="274"/>
        <v>68.896094776964119</v>
      </c>
      <c r="L543" s="538"/>
      <c r="M543" s="538"/>
      <c r="N543" s="538"/>
      <c r="O543" s="538"/>
      <c r="P543" s="816"/>
      <c r="Q543" s="480"/>
      <c r="R543" s="480"/>
      <c r="S543" s="480"/>
      <c r="T543" s="480"/>
      <c r="U543" s="480"/>
      <c r="V543" s="480"/>
      <c r="W543" s="480"/>
      <c r="X543" s="480"/>
      <c r="Y543" s="480"/>
      <c r="Z543" s="480"/>
    </row>
    <row r="544" spans="1:26" ht="20.25" customHeight="1">
      <c r="A544" s="819"/>
      <c r="B544" s="550"/>
      <c r="C544" s="860" t="s">
        <v>14</v>
      </c>
      <c r="D544" s="863" t="s">
        <v>15</v>
      </c>
      <c r="E544" s="864"/>
      <c r="F544" s="864"/>
      <c r="G544" s="551"/>
      <c r="H544" s="219" t="s">
        <v>12</v>
      </c>
      <c r="I544" s="108"/>
      <c r="J544" s="108"/>
      <c r="K544" s="109"/>
      <c r="L544" s="110">
        <f t="shared" ref="L544:N544" ca="1" si="276">L545+L546</f>
        <v>40611300</v>
      </c>
      <c r="M544" s="110">
        <f t="shared" ca="1" si="276"/>
        <v>40611300</v>
      </c>
      <c r="N544" s="110">
        <f t="shared" ca="1" si="276"/>
        <v>23017669.399999902</v>
      </c>
      <c r="O544" s="110">
        <f t="shared" ref="O544:O549" ca="1" si="277">IF(L544&gt;0,N544*100/L544,0)</f>
        <v>56.677992085946279</v>
      </c>
      <c r="P544" s="714">
        <f t="shared" ref="P544:P549" ca="1" si="278">IF(M544&gt;0,N544*100/M544,0)</f>
        <v>56.677992085946279</v>
      </c>
      <c r="Q544" s="480"/>
      <c r="R544" s="480"/>
      <c r="S544" s="480"/>
      <c r="T544" s="480"/>
      <c r="U544" s="480"/>
      <c r="V544" s="480"/>
      <c r="W544" s="480"/>
      <c r="X544" s="480"/>
      <c r="Y544" s="480"/>
      <c r="Z544" s="480"/>
    </row>
    <row r="545" spans="1:26" ht="20.25" customHeight="1">
      <c r="A545" s="808"/>
      <c r="B545" s="600"/>
      <c r="C545" s="600"/>
      <c r="D545" s="600"/>
      <c r="E545" s="600" t="s">
        <v>183</v>
      </c>
      <c r="F545" s="600"/>
      <c r="G545" s="479"/>
      <c r="H545" s="623" t="s">
        <v>12</v>
      </c>
      <c r="I545" s="216"/>
      <c r="J545" s="216"/>
      <c r="K545" s="63"/>
      <c r="L545" s="63">
        <f t="shared" ref="L545:L546" ca="1" si="279">L548+L556</f>
        <v>11594483</v>
      </c>
      <c r="M545" s="63">
        <f t="shared" ref="M545:N545" ca="1" si="280">M548+M555</f>
        <v>11239082</v>
      </c>
      <c r="N545" s="63">
        <f t="shared" ca="1" si="280"/>
        <v>3682545.67</v>
      </c>
      <c r="O545" s="63">
        <f t="shared" ca="1" si="277"/>
        <v>31.761189093122997</v>
      </c>
      <c r="P545" s="684">
        <f t="shared" ca="1" si="278"/>
        <v>32.765537879339256</v>
      </c>
      <c r="Q545" s="480"/>
      <c r="R545" s="480"/>
      <c r="S545" s="480"/>
      <c r="T545" s="480"/>
      <c r="U545" s="480"/>
      <c r="V545" s="480"/>
      <c r="W545" s="480"/>
      <c r="X545" s="480"/>
      <c r="Y545" s="480"/>
      <c r="Z545" s="480"/>
    </row>
    <row r="546" spans="1:26" ht="20.25" customHeight="1">
      <c r="A546" s="808"/>
      <c r="B546" s="504"/>
      <c r="C546" s="600"/>
      <c r="D546" s="600"/>
      <c r="E546" s="600" t="s">
        <v>184</v>
      </c>
      <c r="F546" s="600"/>
      <c r="G546" s="479"/>
      <c r="H546" s="623" t="s">
        <v>12</v>
      </c>
      <c r="I546" s="216"/>
      <c r="J546" s="216"/>
      <c r="K546" s="63"/>
      <c r="L546" s="63">
        <f t="shared" ca="1" si="279"/>
        <v>29016817</v>
      </c>
      <c r="M546" s="63">
        <f t="shared" ref="M546:N546" ca="1" si="281">M549+M556</f>
        <v>29372218</v>
      </c>
      <c r="N546" s="63">
        <f t="shared" ca="1" si="281"/>
        <v>19335123.7299999</v>
      </c>
      <c r="O546" s="63">
        <f t="shared" ca="1" si="277"/>
        <v>66.634199505755234</v>
      </c>
      <c r="P546" s="684">
        <f t="shared" ca="1" si="278"/>
        <v>65.827932129605941</v>
      </c>
      <c r="Q546" s="480"/>
      <c r="R546" s="480"/>
      <c r="S546" s="480"/>
      <c r="T546" s="480"/>
      <c r="U546" s="480"/>
      <c r="V546" s="480"/>
      <c r="W546" s="480"/>
      <c r="X546" s="480"/>
      <c r="Y546" s="480"/>
      <c r="Z546" s="480"/>
    </row>
    <row r="547" spans="1:26" ht="20.25" customHeight="1">
      <c r="A547" s="809"/>
      <c r="B547" s="499"/>
      <c r="C547" s="500"/>
      <c r="D547" s="501" t="s">
        <v>18</v>
      </c>
      <c r="E547" s="500"/>
      <c r="F547" s="500"/>
      <c r="G547" s="502"/>
      <c r="H547" s="114" t="s">
        <v>12</v>
      </c>
      <c r="I547" s="115"/>
      <c r="J547" s="115"/>
      <c r="K547" s="116"/>
      <c r="L547" s="23">
        <f t="shared" ref="L547:N547" ca="1" si="282">L548+L549</f>
        <v>40611300</v>
      </c>
      <c r="M547" s="23">
        <f t="shared" ca="1" si="282"/>
        <v>40611300</v>
      </c>
      <c r="N547" s="23">
        <f t="shared" ca="1" si="282"/>
        <v>23017669.399999902</v>
      </c>
      <c r="O547" s="23">
        <f t="shared" ca="1" si="277"/>
        <v>56.677992085946279</v>
      </c>
      <c r="P547" s="682">
        <f t="shared" ca="1" si="278"/>
        <v>56.677992085946279</v>
      </c>
      <c r="Q547" s="503"/>
      <c r="R547" s="503"/>
      <c r="S547" s="503"/>
      <c r="T547" s="503"/>
      <c r="U547" s="503"/>
      <c r="V547" s="503"/>
      <c r="W547" s="503"/>
      <c r="X547" s="503"/>
      <c r="Y547" s="503"/>
      <c r="Z547" s="503"/>
    </row>
    <row r="548" spans="1:26" ht="20.25" customHeight="1">
      <c r="A548" s="808"/>
      <c r="B548" s="504"/>
      <c r="C548" s="600"/>
      <c r="D548" s="574"/>
      <c r="E548" s="600" t="s">
        <v>183</v>
      </c>
      <c r="F548" s="600"/>
      <c r="G548" s="479"/>
      <c r="H548" s="623" t="s">
        <v>12</v>
      </c>
      <c r="I548" s="216"/>
      <c r="J548" s="216"/>
      <c r="K548" s="63"/>
      <c r="L548" s="63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63">
        <f ca="1">L548+44294-221500-178195</f>
        <v>11239082</v>
      </c>
      <c r="N548" s="63">
        <f ca="1">IFERROR(__xludf.DUMMYFUNCTION("IMPORTRANGE(""https://docs.google.com/spreadsheets/d/1WhzDrMlrZfqSjGYJh0xYjRtGVhp5LiCqlO7EaAHfOOk/edit?usp=sharing"",""sheet1!AR6"")"),3682545.67)</f>
        <v>3682545.67</v>
      </c>
      <c r="O548" s="63">
        <f t="shared" ca="1" si="277"/>
        <v>31.761189093122997</v>
      </c>
      <c r="P548" s="684">
        <f t="shared" ca="1" si="278"/>
        <v>32.765537879339256</v>
      </c>
      <c r="Q548" s="480"/>
      <c r="R548" s="480"/>
      <c r="S548" s="480"/>
      <c r="T548" s="480"/>
      <c r="U548" s="480"/>
      <c r="V548" s="480"/>
      <c r="W548" s="480"/>
      <c r="X548" s="480"/>
      <c r="Y548" s="480"/>
      <c r="Z548" s="480"/>
    </row>
    <row r="549" spans="1:26" ht="20.25" customHeight="1">
      <c r="A549" s="808"/>
      <c r="B549" s="504"/>
      <c r="C549" s="600"/>
      <c r="D549" s="574"/>
      <c r="E549" s="600" t="s">
        <v>184</v>
      </c>
      <c r="F549" s="600"/>
      <c r="G549" s="479"/>
      <c r="H549" s="623" t="s">
        <v>12</v>
      </c>
      <c r="I549" s="216"/>
      <c r="J549" s="216"/>
      <c r="K549" s="63"/>
      <c r="L549" s="63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63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29372218)</f>
        <v>29372218</v>
      </c>
      <c r="N549" s="63">
        <f ca="1">N550+N551+N552+N553+N554</f>
        <v>19335123.7299999</v>
      </c>
      <c r="O549" s="63">
        <f t="shared" ca="1" si="277"/>
        <v>66.634199505755234</v>
      </c>
      <c r="P549" s="684">
        <f t="shared" ca="1" si="278"/>
        <v>65.827932129605941</v>
      </c>
      <c r="Q549" s="480"/>
      <c r="R549" s="480"/>
      <c r="S549" s="480"/>
      <c r="T549" s="480"/>
      <c r="U549" s="480"/>
      <c r="V549" s="480"/>
      <c r="W549" s="480"/>
      <c r="X549" s="480"/>
      <c r="Y549" s="480"/>
      <c r="Z549" s="480"/>
    </row>
    <row r="550" spans="1:26" ht="20.25" customHeight="1">
      <c r="A550" s="801"/>
      <c r="B550" s="504"/>
      <c r="C550" s="600"/>
      <c r="D550" s="600"/>
      <c r="E550" s="600"/>
      <c r="F550" s="600" t="s">
        <v>185</v>
      </c>
      <c r="G550" s="479"/>
      <c r="H550" s="623" t="s">
        <v>12</v>
      </c>
      <c r="I550" s="216"/>
      <c r="J550" s="216"/>
      <c r="K550" s="63"/>
      <c r="L550" s="63"/>
      <c r="M550" s="63"/>
      <c r="N550" s="227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63"/>
      <c r="P550" s="684"/>
      <c r="Q550" s="480"/>
      <c r="R550" s="480"/>
      <c r="S550" s="480"/>
      <c r="T550" s="480"/>
      <c r="U550" s="480"/>
      <c r="V550" s="480"/>
      <c r="W550" s="480"/>
      <c r="X550" s="480"/>
      <c r="Y550" s="480"/>
      <c r="Z550" s="480"/>
    </row>
    <row r="551" spans="1:26" ht="20.25" customHeight="1">
      <c r="A551" s="801"/>
      <c r="B551" s="504"/>
      <c r="C551" s="504"/>
      <c r="D551" s="504"/>
      <c r="E551" s="600"/>
      <c r="F551" s="600" t="s">
        <v>186</v>
      </c>
      <c r="G551" s="479"/>
      <c r="H551" s="623" t="s">
        <v>12</v>
      </c>
      <c r="I551" s="216"/>
      <c r="J551" s="216"/>
      <c r="K551" s="63"/>
      <c r="L551" s="63"/>
      <c r="M551" s="63"/>
      <c r="N551" s="227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306303)</f>
        <v>306303</v>
      </c>
      <c r="O551" s="63"/>
      <c r="P551" s="684"/>
      <c r="Q551" s="480"/>
      <c r="R551" s="480"/>
      <c r="S551" s="480"/>
      <c r="T551" s="480"/>
      <c r="U551" s="480"/>
      <c r="V551" s="480"/>
      <c r="W551" s="480"/>
      <c r="X551" s="480"/>
      <c r="Y551" s="480"/>
      <c r="Z551" s="480"/>
    </row>
    <row r="552" spans="1:26" ht="20.25" customHeight="1">
      <c r="A552" s="801"/>
      <c r="B552" s="504"/>
      <c r="C552" s="600"/>
      <c r="D552" s="600"/>
      <c r="E552" s="600"/>
      <c r="F552" s="600" t="s">
        <v>187</v>
      </c>
      <c r="G552" s="479"/>
      <c r="H552" s="623" t="s">
        <v>12</v>
      </c>
      <c r="I552" s="216"/>
      <c r="J552" s="216"/>
      <c r="K552" s="63"/>
      <c r="L552" s="63"/>
      <c r="M552" s="63"/>
      <c r="N552" s="227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5982295.77)</f>
        <v>5982295.7699999996</v>
      </c>
      <c r="O552" s="63"/>
      <c r="P552" s="684"/>
      <c r="Q552" s="480"/>
      <c r="R552" s="480"/>
      <c r="S552" s="480"/>
      <c r="T552" s="480"/>
      <c r="U552" s="480"/>
      <c r="V552" s="480"/>
      <c r="W552" s="480"/>
      <c r="X552" s="480"/>
      <c r="Y552" s="480"/>
      <c r="Z552" s="480"/>
    </row>
    <row r="553" spans="1:26" ht="20.25" customHeight="1">
      <c r="A553" s="801"/>
      <c r="B553" s="504"/>
      <c r="C553" s="504"/>
      <c r="D553" s="504"/>
      <c r="E553" s="600"/>
      <c r="F553" s="600" t="s">
        <v>188</v>
      </c>
      <c r="G553" s="479"/>
      <c r="H553" s="623" t="s">
        <v>12</v>
      </c>
      <c r="I553" s="216"/>
      <c r="J553" s="216"/>
      <c r="K553" s="63"/>
      <c r="L553" s="63"/>
      <c r="M553" s="63"/>
      <c r="N553" s="227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11904989.4599999)</f>
        <v>11904989.4599999</v>
      </c>
      <c r="O553" s="63"/>
      <c r="P553" s="684"/>
      <c r="Q553" s="480"/>
      <c r="R553" s="480"/>
      <c r="S553" s="480"/>
      <c r="T553" s="480"/>
      <c r="U553" s="480"/>
      <c r="V553" s="480"/>
      <c r="W553" s="480"/>
      <c r="X553" s="480"/>
      <c r="Y553" s="480"/>
      <c r="Z553" s="480"/>
    </row>
    <row r="554" spans="1:26" ht="20.25" customHeight="1">
      <c r="A554" s="801"/>
      <c r="B554" s="504"/>
      <c r="C554" s="504"/>
      <c r="D554" s="504"/>
      <c r="E554" s="600"/>
      <c r="F554" s="600" t="s">
        <v>232</v>
      </c>
      <c r="G554" s="479"/>
      <c r="H554" s="623" t="s">
        <v>12</v>
      </c>
      <c r="I554" s="216"/>
      <c r="J554" s="216"/>
      <c r="K554" s="63"/>
      <c r="L554" s="63"/>
      <c r="M554" s="63"/>
      <c r="N554" s="227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1115893)</f>
        <v>1115893</v>
      </c>
      <c r="O554" s="63"/>
      <c r="P554" s="684"/>
      <c r="Q554" s="480"/>
      <c r="R554" s="480"/>
      <c r="S554" s="480"/>
      <c r="T554" s="480"/>
      <c r="U554" s="480"/>
      <c r="V554" s="480"/>
      <c r="W554" s="480"/>
      <c r="X554" s="480"/>
      <c r="Y554" s="480"/>
      <c r="Z554" s="480"/>
    </row>
    <row r="555" spans="1:26" ht="20.25" customHeight="1">
      <c r="A555" s="809"/>
      <c r="B555" s="499"/>
      <c r="C555" s="499"/>
      <c r="D555" s="501" t="s">
        <v>19</v>
      </c>
      <c r="E555" s="500"/>
      <c r="F555" s="500"/>
      <c r="G555" s="502"/>
      <c r="H555" s="118" t="s">
        <v>12</v>
      </c>
      <c r="I555" s="115"/>
      <c r="J555" s="115"/>
      <c r="K555" s="116"/>
      <c r="L555" s="23">
        <f t="shared" ref="L555:N555" ca="1" si="283">L556+L557</f>
        <v>0</v>
      </c>
      <c r="M555" s="23">
        <f t="shared" si="283"/>
        <v>0</v>
      </c>
      <c r="N555" s="23">
        <f t="shared" ca="1" si="283"/>
        <v>0</v>
      </c>
      <c r="O555" s="23">
        <f t="shared" ref="O555:O557" ca="1" si="284">IF(L555&gt;0,N555*100/L555,0)</f>
        <v>0</v>
      </c>
      <c r="P555" s="682">
        <f t="shared" ref="P555:P557" si="285">IF(M555&gt;0,N555*100/M555,0)</f>
        <v>0</v>
      </c>
      <c r="Q555" s="503"/>
      <c r="R555" s="503"/>
      <c r="S555" s="503"/>
      <c r="T555" s="503"/>
      <c r="U555" s="503"/>
      <c r="V555" s="503"/>
      <c r="W555" s="503"/>
      <c r="X555" s="503"/>
      <c r="Y555" s="503"/>
      <c r="Z555" s="503"/>
    </row>
    <row r="556" spans="1:26" ht="20.25" customHeight="1">
      <c r="A556" s="808"/>
      <c r="B556" s="504"/>
      <c r="C556" s="504"/>
      <c r="D556" s="600"/>
      <c r="E556" s="600" t="s">
        <v>16</v>
      </c>
      <c r="F556" s="600"/>
      <c r="G556" s="479"/>
      <c r="H556" s="623" t="s">
        <v>12</v>
      </c>
      <c r="I556" s="128"/>
      <c r="J556" s="128"/>
      <c r="K556" s="117"/>
      <c r="L556" s="63">
        <v>0</v>
      </c>
      <c r="M556" s="63">
        <v>0</v>
      </c>
      <c r="N556" s="63">
        <f ca="1">IFERROR(__xludf.DUMMYFUNCTION("IMPORTRANGE(""https://docs.google.com/spreadsheets/d/1WhzDrMlrZfqSjGYJh0xYjRtGVhp5LiCqlO7EaAHfOOk/edit?usp=sharing"",""sheet1!AT6"")"),0)</f>
        <v>0</v>
      </c>
      <c r="O556" s="63">
        <f t="shared" si="284"/>
        <v>0</v>
      </c>
      <c r="P556" s="684">
        <f t="shared" si="285"/>
        <v>0</v>
      </c>
      <c r="Q556" s="480"/>
      <c r="R556" s="480"/>
      <c r="S556" s="480"/>
      <c r="T556" s="480"/>
      <c r="U556" s="480"/>
      <c r="V556" s="480"/>
      <c r="W556" s="480"/>
      <c r="X556" s="480"/>
      <c r="Y556" s="480"/>
      <c r="Z556" s="480"/>
    </row>
    <row r="557" spans="1:26" ht="20.25" customHeight="1">
      <c r="A557" s="808"/>
      <c r="B557" s="504"/>
      <c r="C557" s="504"/>
      <c r="D557" s="600"/>
      <c r="E557" s="600" t="s">
        <v>17</v>
      </c>
      <c r="F557" s="600"/>
      <c r="G557" s="479"/>
      <c r="H557" s="119" t="s">
        <v>12</v>
      </c>
      <c r="I557" s="128"/>
      <c r="J557" s="128"/>
      <c r="K557" s="117"/>
      <c r="L557" s="63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63">
        <v>0</v>
      </c>
      <c r="N557" s="63">
        <v>0</v>
      </c>
      <c r="O557" s="63">
        <f t="shared" ca="1" si="284"/>
        <v>0</v>
      </c>
      <c r="P557" s="684">
        <f t="shared" si="285"/>
        <v>0</v>
      </c>
      <c r="Q557" s="480"/>
      <c r="R557" s="480"/>
      <c r="S557" s="480"/>
      <c r="T557" s="480"/>
      <c r="U557" s="480"/>
      <c r="V557" s="480"/>
      <c r="W557" s="480"/>
      <c r="X557" s="480"/>
      <c r="Y557" s="480"/>
      <c r="Z557" s="480"/>
    </row>
    <row r="558" spans="1:26" ht="20.25" customHeight="1">
      <c r="A558" s="810"/>
      <c r="B558" s="508"/>
      <c r="C558" s="860" t="s">
        <v>14</v>
      </c>
      <c r="D558" s="525" t="s">
        <v>36</v>
      </c>
      <c r="E558" s="598"/>
      <c r="F558" s="598"/>
      <c r="G558" s="507"/>
      <c r="H558" s="599"/>
      <c r="I558" s="128"/>
      <c r="J558" s="128"/>
      <c r="K558" s="117"/>
      <c r="L558" s="117"/>
      <c r="M558" s="117"/>
      <c r="N558" s="117"/>
      <c r="O558" s="117"/>
      <c r="P558" s="718"/>
      <c r="Q558" s="480"/>
      <c r="R558" s="480"/>
      <c r="S558" s="480"/>
      <c r="T558" s="480"/>
      <c r="U558" s="480"/>
      <c r="V558" s="480"/>
      <c r="W558" s="480"/>
      <c r="X558" s="480"/>
      <c r="Y558" s="480"/>
      <c r="Z558" s="480"/>
    </row>
    <row r="559" spans="1:26" ht="20.25" customHeight="1">
      <c r="A559" s="820"/>
      <c r="B559" s="552" t="s">
        <v>233</v>
      </c>
      <c r="C559" s="553"/>
      <c r="D559" s="553"/>
      <c r="E559" s="540"/>
      <c r="F559" s="540"/>
      <c r="G559" s="541"/>
      <c r="H559" s="554" t="s">
        <v>44</v>
      </c>
      <c r="I559" s="565">
        <f t="shared" ref="I559:J559" ca="1" si="286">I576</f>
        <v>2607047</v>
      </c>
      <c r="J559" s="565">
        <f t="shared" ca="1" si="286"/>
        <v>1796153.5719999999</v>
      </c>
      <c r="K559" s="543">
        <f t="shared" ref="K559:K561" ca="1" si="287">IF(I559&gt;0,J559*100/I559,0)</f>
        <v>68.896094776964119</v>
      </c>
      <c r="L559" s="544"/>
      <c r="M559" s="544"/>
      <c r="N559" s="544"/>
      <c r="O559" s="544"/>
      <c r="P559" s="818"/>
      <c r="Q559" s="480"/>
      <c r="R559" s="480"/>
      <c r="S559" s="480"/>
      <c r="T559" s="480"/>
      <c r="U559" s="480"/>
      <c r="V559" s="480"/>
      <c r="W559" s="480"/>
      <c r="X559" s="480"/>
      <c r="Y559" s="480"/>
      <c r="Z559" s="480"/>
    </row>
    <row r="560" spans="1:26" ht="20.25" customHeight="1">
      <c r="A560" s="810"/>
      <c r="B560" s="508"/>
      <c r="C560" s="555" t="s">
        <v>234</v>
      </c>
      <c r="D560" s="508"/>
      <c r="E560" s="574"/>
      <c r="F560" s="574"/>
      <c r="G560" s="599"/>
      <c r="H560" s="604" t="s">
        <v>44</v>
      </c>
      <c r="I560" s="115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15">
        <f t="shared" ref="J560:J561" ca="1" si="288">J562+J564+J566</f>
        <v>2598528.6919999886</v>
      </c>
      <c r="K560" s="116">
        <f t="shared" ca="1" si="287"/>
        <v>99.673258364731765</v>
      </c>
      <c r="L560" s="117"/>
      <c r="M560" s="117"/>
      <c r="N560" s="117"/>
      <c r="O560" s="117"/>
      <c r="P560" s="718"/>
      <c r="Q560" s="480"/>
      <c r="R560" s="480"/>
      <c r="S560" s="480"/>
      <c r="T560" s="480"/>
      <c r="U560" s="480"/>
      <c r="V560" s="480"/>
      <c r="W560" s="480"/>
      <c r="X560" s="480"/>
      <c r="Y560" s="480"/>
      <c r="Z560" s="480"/>
    </row>
    <row r="561" spans="1:26" ht="20.25" customHeight="1">
      <c r="A561" s="810"/>
      <c r="B561" s="508"/>
      <c r="C561" s="508"/>
      <c r="D561" s="574"/>
      <c r="E561" s="574"/>
      <c r="F561" s="574"/>
      <c r="G561" s="599"/>
      <c r="H561" s="604" t="s">
        <v>32</v>
      </c>
      <c r="I561" s="115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15">
        <f t="shared" ca="1" si="288"/>
        <v>284236</v>
      </c>
      <c r="K561" s="116">
        <f t="shared" ca="1" si="287"/>
        <v>99.887193075552531</v>
      </c>
      <c r="L561" s="117"/>
      <c r="M561" s="117"/>
      <c r="N561" s="117"/>
      <c r="O561" s="117"/>
      <c r="P561" s="718"/>
      <c r="Q561" s="480"/>
      <c r="R561" s="480"/>
      <c r="S561" s="480"/>
      <c r="T561" s="480"/>
      <c r="U561" s="480"/>
      <c r="V561" s="480"/>
      <c r="W561" s="480"/>
      <c r="X561" s="480"/>
      <c r="Y561" s="480"/>
      <c r="Z561" s="480"/>
    </row>
    <row r="562" spans="1:26" ht="20.25" customHeight="1">
      <c r="A562" s="810"/>
      <c r="B562" s="508"/>
      <c r="C562" s="508"/>
      <c r="D562" s="574" t="s">
        <v>235</v>
      </c>
      <c r="E562" s="574"/>
      <c r="F562" s="574"/>
      <c r="G562" s="599"/>
      <c r="H562" s="601" t="s">
        <v>44</v>
      </c>
      <c r="I562" s="128"/>
      <c r="J562" s="174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17"/>
      <c r="L562" s="117"/>
      <c r="M562" s="117"/>
      <c r="N562" s="117"/>
      <c r="O562" s="117"/>
      <c r="P562" s="718"/>
      <c r="Q562" s="480"/>
      <c r="R562" s="480"/>
      <c r="S562" s="480"/>
      <c r="T562" s="480"/>
      <c r="U562" s="480"/>
      <c r="V562" s="480"/>
      <c r="W562" s="480"/>
      <c r="X562" s="480"/>
      <c r="Y562" s="480"/>
      <c r="Z562" s="480"/>
    </row>
    <row r="563" spans="1:26" ht="20.25" customHeight="1">
      <c r="A563" s="810"/>
      <c r="B563" s="508"/>
      <c r="C563" s="508"/>
      <c r="D563" s="508"/>
      <c r="E563" s="574"/>
      <c r="F563" s="574"/>
      <c r="G563" s="599"/>
      <c r="H563" s="601" t="s">
        <v>32</v>
      </c>
      <c r="I563" s="128"/>
      <c r="J563" s="174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17"/>
      <c r="L563" s="117"/>
      <c r="M563" s="117"/>
      <c r="N563" s="117"/>
      <c r="O563" s="117"/>
      <c r="P563" s="718"/>
      <c r="Q563" s="480"/>
      <c r="R563" s="480"/>
      <c r="S563" s="480"/>
      <c r="T563" s="480"/>
      <c r="U563" s="480"/>
      <c r="V563" s="480"/>
      <c r="W563" s="480"/>
      <c r="X563" s="480"/>
      <c r="Y563" s="480"/>
      <c r="Z563" s="480"/>
    </row>
    <row r="564" spans="1:26" ht="20.25" customHeight="1">
      <c r="A564" s="810"/>
      <c r="B564" s="508"/>
      <c r="C564" s="508"/>
      <c r="D564" s="574" t="s">
        <v>236</v>
      </c>
      <c r="E564" s="574"/>
      <c r="F564" s="574"/>
      <c r="G564" s="599"/>
      <c r="H564" s="601" t="s">
        <v>44</v>
      </c>
      <c r="I564" s="128"/>
      <c r="J564" s="174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17"/>
      <c r="L564" s="117"/>
      <c r="M564" s="117"/>
      <c r="N564" s="117"/>
      <c r="O564" s="117"/>
      <c r="P564" s="718"/>
      <c r="Q564" s="480"/>
      <c r="R564" s="480"/>
      <c r="S564" s="480"/>
      <c r="T564" s="480"/>
      <c r="U564" s="480"/>
      <c r="V564" s="480"/>
      <c r="W564" s="480"/>
      <c r="X564" s="480"/>
      <c r="Y564" s="480"/>
      <c r="Z564" s="480"/>
    </row>
    <row r="565" spans="1:26" ht="20.25" customHeight="1">
      <c r="A565" s="810"/>
      <c r="B565" s="508"/>
      <c r="C565" s="508"/>
      <c r="D565" s="574"/>
      <c r="E565" s="574"/>
      <c r="F565" s="574"/>
      <c r="G565" s="599"/>
      <c r="H565" s="601" t="s">
        <v>32</v>
      </c>
      <c r="I565" s="128"/>
      <c r="J565" s="174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17"/>
      <c r="L565" s="117"/>
      <c r="M565" s="117"/>
      <c r="N565" s="117"/>
      <c r="O565" s="117"/>
      <c r="P565" s="718"/>
      <c r="Q565" s="480"/>
      <c r="R565" s="480"/>
      <c r="S565" s="480"/>
      <c r="T565" s="480"/>
      <c r="U565" s="480"/>
      <c r="V565" s="480"/>
      <c r="W565" s="480"/>
      <c r="X565" s="480"/>
      <c r="Y565" s="480"/>
      <c r="Z565" s="480"/>
    </row>
    <row r="566" spans="1:26" ht="20.25" customHeight="1">
      <c r="A566" s="810"/>
      <c r="B566" s="508"/>
      <c r="C566" s="508"/>
      <c r="D566" s="574" t="s">
        <v>237</v>
      </c>
      <c r="E566" s="574"/>
      <c r="F566" s="574"/>
      <c r="G566" s="599"/>
      <c r="H566" s="601" t="s">
        <v>44</v>
      </c>
      <c r="I566" s="128"/>
      <c r="J566" s="174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17"/>
      <c r="L566" s="117"/>
      <c r="M566" s="117"/>
      <c r="N566" s="117"/>
      <c r="O566" s="117"/>
      <c r="P566" s="718"/>
      <c r="Q566" s="480"/>
      <c r="R566" s="480"/>
      <c r="S566" s="480"/>
      <c r="T566" s="480"/>
      <c r="U566" s="480"/>
      <c r="V566" s="480"/>
      <c r="W566" s="480"/>
      <c r="X566" s="480"/>
      <c r="Y566" s="480"/>
      <c r="Z566" s="480"/>
    </row>
    <row r="567" spans="1:26" ht="20.25" customHeight="1">
      <c r="A567" s="810"/>
      <c r="B567" s="508"/>
      <c r="C567" s="508"/>
      <c r="D567" s="574"/>
      <c r="E567" s="574"/>
      <c r="F567" s="574"/>
      <c r="G567" s="599"/>
      <c r="H567" s="601" t="s">
        <v>32</v>
      </c>
      <c r="I567" s="128"/>
      <c r="J567" s="174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17"/>
      <c r="L567" s="117"/>
      <c r="M567" s="117"/>
      <c r="N567" s="117"/>
      <c r="O567" s="117"/>
      <c r="P567" s="718"/>
      <c r="Q567" s="480"/>
      <c r="R567" s="480"/>
      <c r="S567" s="480"/>
      <c r="T567" s="480"/>
      <c r="U567" s="480"/>
      <c r="V567" s="480"/>
      <c r="W567" s="480"/>
      <c r="X567" s="480"/>
      <c r="Y567" s="480"/>
      <c r="Z567" s="480"/>
    </row>
    <row r="568" spans="1:26" ht="20.25" customHeight="1">
      <c r="A568" s="810"/>
      <c r="B568" s="508"/>
      <c r="C568" s="555" t="s">
        <v>238</v>
      </c>
      <c r="D568" s="574"/>
      <c r="E568" s="574"/>
      <c r="F568" s="574"/>
      <c r="G568" s="599"/>
      <c r="H568" s="604" t="s">
        <v>44</v>
      </c>
      <c r="I568" s="115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526">
        <f t="shared" ref="J568:J569" ca="1" si="289">J570+J572+J574</f>
        <v>2600704.4569999902</v>
      </c>
      <c r="K568" s="116">
        <f t="shared" ref="K568:K569" ca="1" si="290">IF(I568&gt;0,J568*100/I568,0)</f>
        <v>99.756715433208143</v>
      </c>
      <c r="L568" s="117"/>
      <c r="M568" s="117"/>
      <c r="N568" s="117"/>
      <c r="O568" s="117"/>
      <c r="P568" s="718"/>
      <c r="Q568" s="480"/>
      <c r="R568" s="480"/>
      <c r="S568" s="480"/>
      <c r="T568" s="480"/>
      <c r="U568" s="480"/>
      <c r="V568" s="480"/>
      <c r="W568" s="480"/>
      <c r="X568" s="480"/>
      <c r="Y568" s="480"/>
      <c r="Z568" s="480"/>
    </row>
    <row r="569" spans="1:26" ht="20.25" customHeight="1">
      <c r="A569" s="810"/>
      <c r="B569" s="508"/>
      <c r="C569" s="508"/>
      <c r="D569" s="508"/>
      <c r="E569" s="574"/>
      <c r="F569" s="574"/>
      <c r="G569" s="599"/>
      <c r="H569" s="604" t="s">
        <v>32</v>
      </c>
      <c r="I569" s="115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526">
        <f t="shared" ca="1" si="289"/>
        <v>283463</v>
      </c>
      <c r="K569" s="116">
        <f t="shared" ca="1" si="290"/>
        <v>99.615542755932907</v>
      </c>
      <c r="L569" s="117"/>
      <c r="M569" s="117"/>
      <c r="N569" s="117"/>
      <c r="O569" s="117"/>
      <c r="P569" s="718"/>
      <c r="Q569" s="480"/>
      <c r="R569" s="480"/>
      <c r="S569" s="480"/>
      <c r="T569" s="480"/>
      <c r="U569" s="480"/>
      <c r="V569" s="480"/>
      <c r="W569" s="480"/>
      <c r="X569" s="480"/>
      <c r="Y569" s="480"/>
      <c r="Z569" s="480"/>
    </row>
    <row r="570" spans="1:26" ht="20.25" customHeight="1">
      <c r="A570" s="810"/>
      <c r="B570" s="508"/>
      <c r="C570" s="508"/>
      <c r="D570" s="574" t="s">
        <v>239</v>
      </c>
      <c r="E570" s="508"/>
      <c r="F570" s="574"/>
      <c r="G570" s="599"/>
      <c r="H570" s="601" t="s">
        <v>44</v>
      </c>
      <c r="I570" s="128"/>
      <c r="J570" s="174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2217042.87349999)</f>
        <v>2217042.87349999</v>
      </c>
      <c r="K570" s="117"/>
      <c r="L570" s="117"/>
      <c r="M570" s="117"/>
      <c r="N570" s="117"/>
      <c r="O570" s="117"/>
      <c r="P570" s="718"/>
      <c r="Q570" s="480"/>
      <c r="R570" s="480"/>
      <c r="S570" s="480"/>
      <c r="T570" s="480"/>
      <c r="U570" s="480"/>
      <c r="V570" s="480"/>
      <c r="W570" s="480"/>
      <c r="X570" s="480"/>
      <c r="Y570" s="480"/>
      <c r="Z570" s="480"/>
    </row>
    <row r="571" spans="1:26" ht="20.25" customHeight="1">
      <c r="A571" s="810"/>
      <c r="B571" s="508"/>
      <c r="C571" s="508"/>
      <c r="D571" s="508"/>
      <c r="E571" s="574"/>
      <c r="F571" s="574"/>
      <c r="G571" s="599"/>
      <c r="H571" s="601" t="s">
        <v>32</v>
      </c>
      <c r="I571" s="128"/>
      <c r="J571" s="174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249473)</f>
        <v>249473</v>
      </c>
      <c r="K571" s="117"/>
      <c r="L571" s="117"/>
      <c r="M571" s="117"/>
      <c r="N571" s="117"/>
      <c r="O571" s="117"/>
      <c r="P571" s="718"/>
      <c r="Q571" s="480"/>
      <c r="R571" s="480"/>
      <c r="S571" s="480"/>
      <c r="T571" s="480"/>
      <c r="U571" s="480"/>
      <c r="V571" s="480"/>
      <c r="W571" s="480"/>
      <c r="X571" s="480"/>
      <c r="Y571" s="480"/>
      <c r="Z571" s="480"/>
    </row>
    <row r="572" spans="1:26" ht="20.25" customHeight="1">
      <c r="A572" s="810"/>
      <c r="B572" s="508"/>
      <c r="C572" s="508"/>
      <c r="D572" s="574" t="s">
        <v>240</v>
      </c>
      <c r="E572" s="574"/>
      <c r="F572" s="574"/>
      <c r="G572" s="599"/>
      <c r="H572" s="601" t="s">
        <v>44</v>
      </c>
      <c r="I572" s="128"/>
      <c r="J572" s="174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296176.288)</f>
        <v>296176.288</v>
      </c>
      <c r="K572" s="117"/>
      <c r="L572" s="117"/>
      <c r="M572" s="117"/>
      <c r="N572" s="117"/>
      <c r="O572" s="117"/>
      <c r="P572" s="718"/>
      <c r="Q572" s="480"/>
      <c r="R572" s="480"/>
      <c r="S572" s="480"/>
      <c r="T572" s="480"/>
      <c r="U572" s="480"/>
      <c r="V572" s="480"/>
      <c r="W572" s="480"/>
      <c r="X572" s="480"/>
      <c r="Y572" s="480"/>
      <c r="Z572" s="480"/>
    </row>
    <row r="573" spans="1:26" ht="20.25" customHeight="1">
      <c r="A573" s="810"/>
      <c r="B573" s="508"/>
      <c r="C573" s="508"/>
      <c r="D573" s="574"/>
      <c r="E573" s="574"/>
      <c r="F573" s="574"/>
      <c r="G573" s="599"/>
      <c r="H573" s="601" t="s">
        <v>32</v>
      </c>
      <c r="I573" s="128"/>
      <c r="J573" s="174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24765)</f>
        <v>24765</v>
      </c>
      <c r="K573" s="117"/>
      <c r="L573" s="117"/>
      <c r="M573" s="117"/>
      <c r="N573" s="117"/>
      <c r="O573" s="117"/>
      <c r="P573" s="718"/>
      <c r="Q573" s="480"/>
      <c r="R573" s="480"/>
      <c r="S573" s="480"/>
      <c r="T573" s="480"/>
      <c r="U573" s="480"/>
      <c r="V573" s="480"/>
      <c r="W573" s="480"/>
      <c r="X573" s="480"/>
      <c r="Y573" s="480"/>
      <c r="Z573" s="480"/>
    </row>
    <row r="574" spans="1:26" ht="20.25" customHeight="1">
      <c r="A574" s="810"/>
      <c r="B574" s="508"/>
      <c r="C574" s="508"/>
      <c r="D574" s="574" t="s">
        <v>241</v>
      </c>
      <c r="E574" s="574"/>
      <c r="F574" s="574"/>
      <c r="G574" s="599"/>
      <c r="H574" s="601" t="s">
        <v>44</v>
      </c>
      <c r="I574" s="128"/>
      <c r="J574" s="174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87485.2955)</f>
        <v>87485.295499999993</v>
      </c>
      <c r="K574" s="117"/>
      <c r="L574" s="117"/>
      <c r="M574" s="117"/>
      <c r="N574" s="117"/>
      <c r="O574" s="117"/>
      <c r="P574" s="718"/>
      <c r="Q574" s="480"/>
      <c r="R574" s="480"/>
      <c r="S574" s="480"/>
      <c r="T574" s="480"/>
      <c r="U574" s="480"/>
      <c r="V574" s="480"/>
      <c r="W574" s="480"/>
      <c r="X574" s="480"/>
      <c r="Y574" s="480"/>
      <c r="Z574" s="480"/>
    </row>
    <row r="575" spans="1:26" ht="20.25" customHeight="1">
      <c r="A575" s="810"/>
      <c r="B575" s="508"/>
      <c r="C575" s="508"/>
      <c r="D575" s="508"/>
      <c r="E575" s="574"/>
      <c r="F575" s="574"/>
      <c r="G575" s="599"/>
      <c r="H575" s="601" t="s">
        <v>32</v>
      </c>
      <c r="I575" s="128"/>
      <c r="J575" s="174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9225)</f>
        <v>9225</v>
      </c>
      <c r="K575" s="117"/>
      <c r="L575" s="117"/>
      <c r="M575" s="117"/>
      <c r="N575" s="117"/>
      <c r="O575" s="117"/>
      <c r="P575" s="718"/>
      <c r="Q575" s="480"/>
      <c r="R575" s="480"/>
      <c r="S575" s="480"/>
      <c r="T575" s="480"/>
      <c r="U575" s="480"/>
      <c r="V575" s="480"/>
      <c r="W575" s="480"/>
      <c r="X575" s="480"/>
      <c r="Y575" s="480"/>
      <c r="Z575" s="480"/>
    </row>
    <row r="576" spans="1:26" ht="20.25" customHeight="1">
      <c r="A576" s="810"/>
      <c r="B576" s="508"/>
      <c r="C576" s="555" t="s">
        <v>242</v>
      </c>
      <c r="D576" s="508"/>
      <c r="E576" s="508"/>
      <c r="F576" s="574"/>
      <c r="G576" s="599"/>
      <c r="H576" s="604" t="s">
        <v>44</v>
      </c>
      <c r="I576" s="115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526">
        <f t="shared" ref="J576:J577" ca="1" si="291">J578+J580+J582+J588+J590</f>
        <v>1796153.5719999999</v>
      </c>
      <c r="K576" s="116">
        <f t="shared" ref="K576:K577" ca="1" si="292">IF(I576&gt;0,J576*100/I576,0)</f>
        <v>68.896094776964119</v>
      </c>
      <c r="L576" s="117"/>
      <c r="M576" s="117"/>
      <c r="N576" s="117"/>
      <c r="O576" s="117"/>
      <c r="P576" s="718"/>
      <c r="Q576" s="480"/>
      <c r="R576" s="480"/>
      <c r="S576" s="480"/>
      <c r="T576" s="480"/>
      <c r="U576" s="480"/>
      <c r="V576" s="480"/>
      <c r="W576" s="480"/>
      <c r="X576" s="480"/>
      <c r="Y576" s="480"/>
      <c r="Z576" s="480"/>
    </row>
    <row r="577" spans="1:26" ht="20.25" customHeight="1">
      <c r="A577" s="810"/>
      <c r="B577" s="508"/>
      <c r="C577" s="508"/>
      <c r="D577" s="508"/>
      <c r="E577" s="574"/>
      <c r="F577" s="574"/>
      <c r="G577" s="599"/>
      <c r="H577" s="604" t="s">
        <v>32</v>
      </c>
      <c r="I577" s="115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526">
        <f t="shared" ca="1" si="291"/>
        <v>208614</v>
      </c>
      <c r="K577" s="116">
        <f t="shared" ca="1" si="292"/>
        <v>73.311849646995157</v>
      </c>
      <c r="L577" s="117"/>
      <c r="M577" s="117"/>
      <c r="N577" s="117"/>
      <c r="O577" s="117"/>
      <c r="P577" s="718"/>
      <c r="Q577" s="480"/>
      <c r="R577" s="480"/>
      <c r="S577" s="480"/>
      <c r="T577" s="480"/>
      <c r="U577" s="480"/>
      <c r="V577" s="480"/>
      <c r="W577" s="480"/>
      <c r="X577" s="480"/>
      <c r="Y577" s="480"/>
      <c r="Z577" s="480"/>
    </row>
    <row r="578" spans="1:26" ht="20.25" customHeight="1">
      <c r="A578" s="810"/>
      <c r="B578" s="508"/>
      <c r="C578" s="508"/>
      <c r="D578" s="574" t="s">
        <v>243</v>
      </c>
      <c r="E578" s="574"/>
      <c r="F578" s="574"/>
      <c r="G578" s="599"/>
      <c r="H578" s="601" t="s">
        <v>44</v>
      </c>
      <c r="I578" s="128"/>
      <c r="J578" s="174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1609502.2885)</f>
        <v>1609502.2885</v>
      </c>
      <c r="K578" s="117"/>
      <c r="L578" s="117"/>
      <c r="M578" s="117"/>
      <c r="N578" s="117"/>
      <c r="O578" s="117"/>
      <c r="P578" s="718"/>
      <c r="Q578" s="480"/>
      <c r="R578" s="480"/>
      <c r="S578" s="480"/>
      <c r="T578" s="480"/>
      <c r="U578" s="480"/>
      <c r="V578" s="480"/>
      <c r="W578" s="480"/>
      <c r="X578" s="480"/>
      <c r="Y578" s="480"/>
      <c r="Z578" s="480"/>
    </row>
    <row r="579" spans="1:26" ht="20.25" customHeight="1">
      <c r="A579" s="810"/>
      <c r="B579" s="508"/>
      <c r="C579" s="508"/>
      <c r="D579" s="508"/>
      <c r="E579" s="574"/>
      <c r="F579" s="574"/>
      <c r="G579" s="599"/>
      <c r="H579" s="601" t="s">
        <v>32</v>
      </c>
      <c r="I579" s="128"/>
      <c r="J579" s="174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190410)</f>
        <v>190410</v>
      </c>
      <c r="K579" s="117"/>
      <c r="L579" s="117"/>
      <c r="M579" s="117"/>
      <c r="N579" s="117"/>
      <c r="O579" s="117"/>
      <c r="P579" s="718"/>
      <c r="Q579" s="480"/>
      <c r="R579" s="480"/>
      <c r="S579" s="480"/>
      <c r="T579" s="480"/>
      <c r="U579" s="480"/>
      <c r="V579" s="480"/>
      <c r="W579" s="480"/>
      <c r="X579" s="480"/>
      <c r="Y579" s="480"/>
      <c r="Z579" s="480"/>
    </row>
    <row r="580" spans="1:26" ht="20.25" customHeight="1">
      <c r="A580" s="810"/>
      <c r="B580" s="508"/>
      <c r="C580" s="508"/>
      <c r="D580" s="574" t="s">
        <v>244</v>
      </c>
      <c r="E580" s="574"/>
      <c r="F580" s="574"/>
      <c r="G580" s="599"/>
      <c r="H580" s="601" t="s">
        <v>44</v>
      </c>
      <c r="I580" s="128"/>
      <c r="J580" s="174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106925.022)</f>
        <v>106925.022</v>
      </c>
      <c r="K580" s="117"/>
      <c r="L580" s="117"/>
      <c r="M580" s="117"/>
      <c r="N580" s="117"/>
      <c r="O580" s="117"/>
      <c r="P580" s="718"/>
      <c r="Q580" s="480"/>
      <c r="R580" s="480"/>
      <c r="S580" s="480"/>
      <c r="T580" s="480"/>
      <c r="U580" s="480"/>
      <c r="V580" s="480"/>
      <c r="W580" s="480"/>
      <c r="X580" s="480"/>
      <c r="Y580" s="480"/>
      <c r="Z580" s="480"/>
    </row>
    <row r="581" spans="1:26" ht="20.25" customHeight="1">
      <c r="A581" s="810"/>
      <c r="B581" s="508"/>
      <c r="C581" s="508"/>
      <c r="D581" s="508"/>
      <c r="E581" s="574"/>
      <c r="F581" s="574"/>
      <c r="G581" s="599"/>
      <c r="H581" s="601" t="s">
        <v>32</v>
      </c>
      <c r="I581" s="128"/>
      <c r="J581" s="174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8932)</f>
        <v>8932</v>
      </c>
      <c r="K581" s="117"/>
      <c r="L581" s="117"/>
      <c r="M581" s="117"/>
      <c r="N581" s="117"/>
      <c r="O581" s="117"/>
      <c r="P581" s="718"/>
      <c r="Q581" s="480"/>
      <c r="R581" s="480"/>
      <c r="S581" s="480"/>
      <c r="T581" s="480"/>
      <c r="U581" s="480"/>
      <c r="V581" s="480"/>
      <c r="W581" s="480"/>
      <c r="X581" s="480"/>
      <c r="Y581" s="480"/>
      <c r="Z581" s="480"/>
    </row>
    <row r="582" spans="1:26" ht="20.25" customHeight="1">
      <c r="A582" s="810"/>
      <c r="B582" s="508"/>
      <c r="C582" s="508"/>
      <c r="D582" s="574" t="s">
        <v>245</v>
      </c>
      <c r="E582" s="574"/>
      <c r="F582" s="574"/>
      <c r="G582" s="599"/>
      <c r="H582" s="601" t="s">
        <v>44</v>
      </c>
      <c r="I582" s="128"/>
      <c r="J582" s="526">
        <f t="shared" ref="J582:J583" ca="1" si="293">J584+J586</f>
        <v>56524.121500000001</v>
      </c>
      <c r="K582" s="116"/>
      <c r="L582" s="117"/>
      <c r="M582" s="117"/>
      <c r="N582" s="117"/>
      <c r="O582" s="117"/>
      <c r="P582" s="718"/>
      <c r="Q582" s="480"/>
      <c r="R582" s="480"/>
      <c r="S582" s="480"/>
      <c r="T582" s="480"/>
      <c r="U582" s="480"/>
      <c r="V582" s="480"/>
      <c r="W582" s="480"/>
      <c r="X582" s="480"/>
      <c r="Y582" s="480"/>
      <c r="Z582" s="480"/>
    </row>
    <row r="583" spans="1:26" ht="20.25" customHeight="1">
      <c r="A583" s="810"/>
      <c r="B583" s="508"/>
      <c r="C583" s="508"/>
      <c r="D583" s="508"/>
      <c r="E583" s="574"/>
      <c r="F583" s="574"/>
      <c r="G583" s="599"/>
      <c r="H583" s="601" t="s">
        <v>32</v>
      </c>
      <c r="I583" s="128"/>
      <c r="J583" s="526">
        <f t="shared" ca="1" si="293"/>
        <v>6576</v>
      </c>
      <c r="K583" s="116"/>
      <c r="L583" s="117"/>
      <c r="M583" s="117"/>
      <c r="N583" s="117"/>
      <c r="O583" s="117"/>
      <c r="P583" s="718"/>
      <c r="Q583" s="480"/>
      <c r="R583" s="480"/>
      <c r="S583" s="480"/>
      <c r="T583" s="480"/>
      <c r="U583" s="480"/>
      <c r="V583" s="480"/>
      <c r="W583" s="480"/>
      <c r="X583" s="480"/>
      <c r="Y583" s="480"/>
      <c r="Z583" s="480"/>
    </row>
    <row r="584" spans="1:26" ht="20.25" customHeight="1">
      <c r="A584" s="810"/>
      <c r="B584" s="508"/>
      <c r="C584" s="508"/>
      <c r="D584" s="508"/>
      <c r="E584" s="574" t="s">
        <v>246</v>
      </c>
      <c r="F584" s="574"/>
      <c r="G584" s="599"/>
      <c r="H584" s="601" t="s">
        <v>44</v>
      </c>
      <c r="I584" s="128"/>
      <c r="J584" s="174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55189.381)</f>
        <v>55189.381000000001</v>
      </c>
      <c r="K584" s="117"/>
      <c r="L584" s="117"/>
      <c r="M584" s="117"/>
      <c r="N584" s="117"/>
      <c r="O584" s="117"/>
      <c r="P584" s="718"/>
      <c r="Q584" s="480"/>
      <c r="R584" s="480"/>
      <c r="S584" s="480"/>
      <c r="T584" s="480"/>
      <c r="U584" s="480"/>
      <c r="V584" s="480"/>
      <c r="W584" s="480"/>
      <c r="X584" s="480"/>
      <c r="Y584" s="480"/>
      <c r="Z584" s="480"/>
    </row>
    <row r="585" spans="1:26" ht="20.25" customHeight="1">
      <c r="A585" s="810"/>
      <c r="B585" s="508"/>
      <c r="C585" s="508"/>
      <c r="D585" s="508"/>
      <c r="E585" s="574"/>
      <c r="F585" s="574"/>
      <c r="G585" s="599"/>
      <c r="H585" s="601" t="s">
        <v>32</v>
      </c>
      <c r="I585" s="128"/>
      <c r="J585" s="174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6473)</f>
        <v>6473</v>
      </c>
      <c r="K585" s="117"/>
      <c r="L585" s="117"/>
      <c r="M585" s="117"/>
      <c r="N585" s="117"/>
      <c r="O585" s="117"/>
      <c r="P585" s="718"/>
      <c r="Q585" s="480"/>
      <c r="R585" s="480"/>
      <c r="S585" s="480"/>
      <c r="T585" s="480"/>
      <c r="U585" s="480"/>
      <c r="V585" s="480"/>
      <c r="W585" s="480"/>
      <c r="X585" s="480"/>
      <c r="Y585" s="480"/>
      <c r="Z585" s="480"/>
    </row>
    <row r="586" spans="1:26" ht="20.25" customHeight="1">
      <c r="A586" s="810"/>
      <c r="B586" s="508"/>
      <c r="C586" s="508"/>
      <c r="D586" s="508"/>
      <c r="E586" s="574" t="s">
        <v>247</v>
      </c>
      <c r="F586" s="574"/>
      <c r="G586" s="599"/>
      <c r="H586" s="601" t="s">
        <v>44</v>
      </c>
      <c r="I586" s="128"/>
      <c r="J586" s="174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1334.7405)</f>
        <v>1334.7405000000001</v>
      </c>
      <c r="K586" s="117"/>
      <c r="L586" s="117"/>
      <c r="M586" s="117"/>
      <c r="N586" s="117"/>
      <c r="O586" s="117"/>
      <c r="P586" s="718"/>
      <c r="Q586" s="480"/>
      <c r="R586" s="480"/>
      <c r="S586" s="480"/>
      <c r="T586" s="480"/>
      <c r="U586" s="480"/>
      <c r="V586" s="480"/>
      <c r="W586" s="480"/>
      <c r="X586" s="480"/>
      <c r="Y586" s="480"/>
      <c r="Z586" s="480"/>
    </row>
    <row r="587" spans="1:26" ht="20.25" customHeight="1">
      <c r="A587" s="810"/>
      <c r="B587" s="508"/>
      <c r="C587" s="508"/>
      <c r="D587" s="508"/>
      <c r="E587" s="508"/>
      <c r="F587" s="574"/>
      <c r="G587" s="599"/>
      <c r="H587" s="601" t="s">
        <v>32</v>
      </c>
      <c r="I587" s="128"/>
      <c r="J587" s="174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103)</f>
        <v>103</v>
      </c>
      <c r="K587" s="117"/>
      <c r="L587" s="117"/>
      <c r="M587" s="117"/>
      <c r="N587" s="117"/>
      <c r="O587" s="117"/>
      <c r="P587" s="718"/>
      <c r="Q587" s="480"/>
      <c r="R587" s="480"/>
      <c r="S587" s="480"/>
      <c r="T587" s="480"/>
      <c r="U587" s="480"/>
      <c r="V587" s="480"/>
      <c r="W587" s="480"/>
      <c r="X587" s="480"/>
      <c r="Y587" s="480"/>
      <c r="Z587" s="480"/>
    </row>
    <row r="588" spans="1:26" ht="20.25" customHeight="1">
      <c r="A588" s="810"/>
      <c r="B588" s="508"/>
      <c r="C588" s="508"/>
      <c r="D588" s="574" t="s">
        <v>248</v>
      </c>
      <c r="E588" s="574"/>
      <c r="F588" s="574"/>
      <c r="G588" s="599"/>
      <c r="H588" s="601" t="s">
        <v>44</v>
      </c>
      <c r="I588" s="128"/>
      <c r="J588" s="174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23201.93)</f>
        <v>23201.93</v>
      </c>
      <c r="K588" s="117"/>
      <c r="L588" s="117"/>
      <c r="M588" s="117"/>
      <c r="N588" s="117"/>
      <c r="O588" s="117"/>
      <c r="P588" s="718"/>
      <c r="Q588" s="480"/>
      <c r="R588" s="480"/>
      <c r="S588" s="480"/>
      <c r="T588" s="480"/>
      <c r="U588" s="480"/>
      <c r="V588" s="480"/>
      <c r="W588" s="480"/>
      <c r="X588" s="480"/>
      <c r="Y588" s="480"/>
      <c r="Z588" s="480"/>
    </row>
    <row r="589" spans="1:26" ht="20.25" customHeight="1">
      <c r="A589" s="810"/>
      <c r="B589" s="508"/>
      <c r="C589" s="508"/>
      <c r="D589" s="508"/>
      <c r="E589" s="508"/>
      <c r="F589" s="574"/>
      <c r="G589" s="599"/>
      <c r="H589" s="601" t="s">
        <v>32</v>
      </c>
      <c r="I589" s="128"/>
      <c r="J589" s="174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2695)</f>
        <v>2695</v>
      </c>
      <c r="K589" s="117"/>
      <c r="L589" s="117"/>
      <c r="M589" s="117"/>
      <c r="N589" s="117"/>
      <c r="O589" s="117"/>
      <c r="P589" s="718"/>
      <c r="Q589" s="480"/>
      <c r="R589" s="480"/>
      <c r="S589" s="480"/>
      <c r="T589" s="480"/>
      <c r="U589" s="480"/>
      <c r="V589" s="480"/>
      <c r="W589" s="480"/>
      <c r="X589" s="480"/>
      <c r="Y589" s="480"/>
      <c r="Z589" s="480"/>
    </row>
    <row r="590" spans="1:26" ht="20.25" customHeight="1">
      <c r="A590" s="810"/>
      <c r="B590" s="508"/>
      <c r="C590" s="508"/>
      <c r="D590" s="574" t="s">
        <v>249</v>
      </c>
      <c r="E590" s="574"/>
      <c r="F590" s="574"/>
      <c r="G590" s="599"/>
      <c r="H590" s="601" t="s">
        <v>44</v>
      </c>
      <c r="I590" s="128"/>
      <c r="J590" s="556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17"/>
      <c r="L590" s="117"/>
      <c r="M590" s="117"/>
      <c r="N590" s="117"/>
      <c r="O590" s="117"/>
      <c r="P590" s="718"/>
      <c r="Q590" s="480"/>
      <c r="R590" s="480"/>
      <c r="S590" s="480"/>
      <c r="T590" s="480"/>
      <c r="U590" s="480"/>
      <c r="V590" s="480"/>
      <c r="W590" s="480"/>
      <c r="X590" s="480"/>
      <c r="Y590" s="480"/>
      <c r="Z590" s="480"/>
    </row>
    <row r="591" spans="1:26" ht="20.25" customHeight="1">
      <c r="A591" s="821"/>
      <c r="B591" s="822"/>
      <c r="C591" s="822"/>
      <c r="D591" s="822"/>
      <c r="E591" s="823"/>
      <c r="F591" s="823"/>
      <c r="G591" s="557"/>
      <c r="H591" s="558" t="s">
        <v>32</v>
      </c>
      <c r="I591" s="559"/>
      <c r="J591" s="560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561"/>
      <c r="L591" s="561"/>
      <c r="M591" s="561"/>
      <c r="N591" s="561"/>
      <c r="O591" s="561"/>
      <c r="P591" s="824"/>
      <c r="Q591" s="480"/>
      <c r="R591" s="480"/>
      <c r="S591" s="480"/>
      <c r="T591" s="480"/>
      <c r="U591" s="480"/>
      <c r="V591" s="480"/>
      <c r="W591" s="480"/>
      <c r="X591" s="480"/>
      <c r="Y591" s="480"/>
      <c r="Z591" s="480"/>
    </row>
    <row r="592" spans="1:26" ht="20.25" customHeight="1">
      <c r="A592" s="820"/>
      <c r="B592" s="552" t="s">
        <v>250</v>
      </c>
      <c r="C592" s="553"/>
      <c r="D592" s="553"/>
      <c r="E592" s="540"/>
      <c r="F592" s="540"/>
      <c r="G592" s="541"/>
      <c r="H592" s="554" t="s">
        <v>44</v>
      </c>
      <c r="I592" s="565">
        <f t="shared" ref="I592:J592" ca="1" si="294">I593</f>
        <v>267782.46000000002</v>
      </c>
      <c r="J592" s="565">
        <f t="shared" ca="1" si="294"/>
        <v>98654.080499999982</v>
      </c>
      <c r="K592" s="543">
        <f t="shared" ref="K592:K594" ca="1" si="295">IF(I592&gt;0,J592*100/I592,0)</f>
        <v>36.841128616116222</v>
      </c>
      <c r="L592" s="544"/>
      <c r="M592" s="544"/>
      <c r="N592" s="544"/>
      <c r="O592" s="544"/>
      <c r="P592" s="818"/>
      <c r="Q592" s="480"/>
      <c r="R592" s="480"/>
      <c r="S592" s="480"/>
      <c r="T592" s="480"/>
      <c r="U592" s="480"/>
      <c r="V592" s="480"/>
      <c r="W592" s="480"/>
      <c r="X592" s="480"/>
      <c r="Y592" s="480"/>
      <c r="Z592" s="480"/>
    </row>
    <row r="593" spans="1:26" ht="20.25" customHeight="1">
      <c r="A593" s="810"/>
      <c r="B593" s="508"/>
      <c r="C593" s="555" t="s">
        <v>251</v>
      </c>
      <c r="D593" s="508"/>
      <c r="E593" s="508"/>
      <c r="F593" s="574"/>
      <c r="G593" s="599"/>
      <c r="H593" s="604" t="s">
        <v>44</v>
      </c>
      <c r="I593" s="115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15">
        <f t="shared" ref="J593:J594" ca="1" si="296">J595+J603+J609</f>
        <v>98654.080499999982</v>
      </c>
      <c r="K593" s="116">
        <f t="shared" ca="1" si="295"/>
        <v>36.841128616116222</v>
      </c>
      <c r="L593" s="117"/>
      <c r="M593" s="117"/>
      <c r="N593" s="117"/>
      <c r="O593" s="117"/>
      <c r="P593" s="718"/>
      <c r="Q593" s="480"/>
      <c r="R593" s="480"/>
      <c r="S593" s="480"/>
      <c r="T593" s="480"/>
      <c r="U593" s="480"/>
      <c r="V593" s="480"/>
      <c r="W593" s="480"/>
      <c r="X593" s="480"/>
      <c r="Y593" s="480"/>
      <c r="Z593" s="480"/>
    </row>
    <row r="594" spans="1:26" ht="20.25" customHeight="1">
      <c r="A594" s="810"/>
      <c r="B594" s="508"/>
      <c r="C594" s="508"/>
      <c r="D594" s="508"/>
      <c r="E594" s="574"/>
      <c r="F594" s="574"/>
      <c r="G594" s="599"/>
      <c r="H594" s="604" t="s">
        <v>32</v>
      </c>
      <c r="I594" s="115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15">
        <f t="shared" ca="1" si="296"/>
        <v>8817</v>
      </c>
      <c r="K594" s="116">
        <f t="shared" ca="1" si="295"/>
        <v>38.334782608695654</v>
      </c>
      <c r="L594" s="117"/>
      <c r="M594" s="117"/>
      <c r="N594" s="117"/>
      <c r="O594" s="117"/>
      <c r="P594" s="718"/>
      <c r="Q594" s="480"/>
      <c r="R594" s="480"/>
      <c r="S594" s="480"/>
      <c r="T594" s="480"/>
      <c r="U594" s="480"/>
      <c r="V594" s="480"/>
      <c r="W594" s="480"/>
      <c r="X594" s="480"/>
      <c r="Y594" s="480"/>
      <c r="Z594" s="480"/>
    </row>
    <row r="595" spans="1:26" ht="20.25" customHeight="1">
      <c r="A595" s="810"/>
      <c r="B595" s="508"/>
      <c r="C595" s="508" t="s">
        <v>252</v>
      </c>
      <c r="D595" s="508"/>
      <c r="E595" s="508"/>
      <c r="F595" s="574"/>
      <c r="G595" s="599"/>
      <c r="H595" s="601" t="s">
        <v>44</v>
      </c>
      <c r="I595" s="128"/>
      <c r="J595" s="128">
        <f t="shared" ref="J595:J596" ca="1" si="297">J597+J599</f>
        <v>85307.26999999999</v>
      </c>
      <c r="K595" s="117"/>
      <c r="L595" s="117"/>
      <c r="M595" s="117"/>
      <c r="N595" s="117"/>
      <c r="O595" s="117"/>
      <c r="P595" s="718"/>
      <c r="Q595" s="480"/>
      <c r="R595" s="480"/>
      <c r="S595" s="480"/>
      <c r="T595" s="480"/>
      <c r="U595" s="480"/>
      <c r="V595" s="480"/>
      <c r="W595" s="480"/>
      <c r="X595" s="480"/>
      <c r="Y595" s="480"/>
      <c r="Z595" s="480"/>
    </row>
    <row r="596" spans="1:26" ht="20.25" customHeight="1">
      <c r="A596" s="810"/>
      <c r="B596" s="508"/>
      <c r="C596" s="508"/>
      <c r="D596" s="508"/>
      <c r="E596" s="574"/>
      <c r="F596" s="574"/>
      <c r="G596" s="599"/>
      <c r="H596" s="601" t="s">
        <v>32</v>
      </c>
      <c r="I596" s="128"/>
      <c r="J596" s="128">
        <f t="shared" ca="1" si="297"/>
        <v>7479</v>
      </c>
      <c r="K596" s="117"/>
      <c r="L596" s="117"/>
      <c r="M596" s="117"/>
      <c r="N596" s="117"/>
      <c r="O596" s="117"/>
      <c r="P596" s="718"/>
      <c r="Q596" s="480"/>
      <c r="R596" s="480"/>
      <c r="S596" s="480"/>
      <c r="T596" s="480"/>
      <c r="U596" s="480"/>
      <c r="V596" s="480"/>
      <c r="W596" s="480"/>
      <c r="X596" s="480"/>
      <c r="Y596" s="480"/>
      <c r="Z596" s="480"/>
    </row>
    <row r="597" spans="1:26" ht="20.25" customHeight="1">
      <c r="A597" s="810"/>
      <c r="B597" s="508"/>
      <c r="C597" s="508"/>
      <c r="D597" s="586" t="s">
        <v>253</v>
      </c>
      <c r="E597" s="574"/>
      <c r="F597" s="574"/>
      <c r="G597" s="599"/>
      <c r="H597" s="601" t="s">
        <v>44</v>
      </c>
      <c r="I597" s="128"/>
      <c r="J597" s="174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62924.77)</f>
        <v>62924.77</v>
      </c>
      <c r="K597" s="117"/>
      <c r="L597" s="117"/>
      <c r="M597" s="117"/>
      <c r="N597" s="117"/>
      <c r="O597" s="117"/>
      <c r="P597" s="718"/>
      <c r="Q597" s="480"/>
      <c r="R597" s="480"/>
      <c r="S597" s="480"/>
      <c r="T597" s="480"/>
      <c r="U597" s="480"/>
      <c r="V597" s="480"/>
      <c r="W597" s="480"/>
      <c r="X597" s="480"/>
      <c r="Y597" s="480"/>
      <c r="Z597" s="480"/>
    </row>
    <row r="598" spans="1:26" ht="20.25" customHeight="1">
      <c r="A598" s="810"/>
      <c r="B598" s="508"/>
      <c r="C598" s="508"/>
      <c r="D598" s="508"/>
      <c r="E598" s="574"/>
      <c r="F598" s="574"/>
      <c r="G598" s="599"/>
      <c r="H598" s="601" t="s">
        <v>32</v>
      </c>
      <c r="I598" s="216"/>
      <c r="J598" s="174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5682)</f>
        <v>5682</v>
      </c>
      <c r="K598" s="117"/>
      <c r="L598" s="117"/>
      <c r="M598" s="117"/>
      <c r="N598" s="117"/>
      <c r="O598" s="117"/>
      <c r="P598" s="718"/>
      <c r="Q598" s="480"/>
      <c r="R598" s="480"/>
      <c r="S598" s="480"/>
      <c r="T598" s="480"/>
      <c r="U598" s="480"/>
      <c r="V598" s="480"/>
      <c r="W598" s="480"/>
      <c r="X598" s="480"/>
      <c r="Y598" s="480"/>
      <c r="Z598" s="480"/>
    </row>
    <row r="599" spans="1:26" ht="20.25" customHeight="1">
      <c r="A599" s="810"/>
      <c r="B599" s="508"/>
      <c r="C599" s="508"/>
      <c r="D599" s="586" t="s">
        <v>254</v>
      </c>
      <c r="E599" s="574"/>
      <c r="F599" s="574"/>
      <c r="G599" s="599"/>
      <c r="H599" s="601" t="s">
        <v>44</v>
      </c>
      <c r="I599" s="216"/>
      <c r="J599" s="174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22382.5)</f>
        <v>22382.5</v>
      </c>
      <c r="K599" s="117"/>
      <c r="L599" s="117"/>
      <c r="M599" s="117"/>
      <c r="N599" s="117"/>
      <c r="O599" s="117"/>
      <c r="P599" s="718"/>
      <c r="Q599" s="480"/>
      <c r="R599" s="480"/>
      <c r="S599" s="480"/>
      <c r="T599" s="480"/>
      <c r="U599" s="480"/>
      <c r="V599" s="480"/>
      <c r="W599" s="480"/>
      <c r="X599" s="480"/>
      <c r="Y599" s="480"/>
      <c r="Z599" s="480"/>
    </row>
    <row r="600" spans="1:26" ht="20.25" customHeight="1">
      <c r="A600" s="810"/>
      <c r="B600" s="508"/>
      <c r="C600" s="508"/>
      <c r="D600" s="508"/>
      <c r="E600" s="574"/>
      <c r="F600" s="574"/>
      <c r="G600" s="599"/>
      <c r="H600" s="601" t="s">
        <v>32</v>
      </c>
      <c r="I600" s="216"/>
      <c r="J600" s="174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1797)</f>
        <v>1797</v>
      </c>
      <c r="K600" s="117"/>
      <c r="L600" s="117"/>
      <c r="M600" s="117"/>
      <c r="N600" s="117"/>
      <c r="O600" s="117"/>
      <c r="P600" s="718"/>
      <c r="Q600" s="480"/>
      <c r="R600" s="480"/>
      <c r="S600" s="480"/>
      <c r="T600" s="480"/>
      <c r="U600" s="480"/>
      <c r="V600" s="480"/>
      <c r="W600" s="480"/>
      <c r="X600" s="480"/>
      <c r="Y600" s="480"/>
      <c r="Z600" s="480"/>
    </row>
    <row r="601" spans="1:26" ht="20.25" customHeight="1">
      <c r="A601" s="810"/>
      <c r="B601" s="508"/>
      <c r="C601" s="508"/>
      <c r="D601" s="586" t="s">
        <v>255</v>
      </c>
      <c r="E601" s="574"/>
      <c r="F601" s="574"/>
      <c r="G601" s="599"/>
      <c r="H601" s="601" t="s">
        <v>44</v>
      </c>
      <c r="I601" s="216"/>
      <c r="J601" s="174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212)</f>
        <v>212</v>
      </c>
      <c r="K601" s="117"/>
      <c r="L601" s="117"/>
      <c r="M601" s="117"/>
      <c r="N601" s="117"/>
      <c r="O601" s="117"/>
      <c r="P601" s="718"/>
      <c r="Q601" s="480"/>
      <c r="R601" s="480"/>
      <c r="S601" s="480"/>
      <c r="T601" s="480"/>
      <c r="U601" s="480"/>
      <c r="V601" s="480"/>
      <c r="W601" s="480"/>
      <c r="X601" s="480"/>
      <c r="Y601" s="480"/>
      <c r="Z601" s="480"/>
    </row>
    <row r="602" spans="1:26" ht="20.25" customHeight="1">
      <c r="A602" s="810"/>
      <c r="B602" s="508"/>
      <c r="C602" s="508"/>
      <c r="D602" s="508"/>
      <c r="E602" s="574"/>
      <c r="F602" s="574"/>
      <c r="G602" s="599"/>
      <c r="H602" s="601" t="s">
        <v>32</v>
      </c>
      <c r="I602" s="216"/>
      <c r="J602" s="174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12)</f>
        <v>12</v>
      </c>
      <c r="K602" s="117"/>
      <c r="L602" s="117"/>
      <c r="M602" s="117"/>
      <c r="N602" s="117"/>
      <c r="O602" s="117"/>
      <c r="P602" s="718"/>
      <c r="Q602" s="480"/>
      <c r="R602" s="480"/>
      <c r="S602" s="480"/>
      <c r="T602" s="480"/>
      <c r="U602" s="480"/>
      <c r="V602" s="480"/>
      <c r="W602" s="480"/>
      <c r="X602" s="480"/>
      <c r="Y602" s="480"/>
      <c r="Z602" s="480"/>
    </row>
    <row r="603" spans="1:26" ht="20.25" customHeight="1">
      <c r="A603" s="810"/>
      <c r="B603" s="508"/>
      <c r="C603" s="562" t="s">
        <v>256</v>
      </c>
      <c r="D603" s="508"/>
      <c r="E603" s="508"/>
      <c r="F603" s="574"/>
      <c r="G603" s="599"/>
      <c r="H603" s="601" t="s">
        <v>44</v>
      </c>
      <c r="I603" s="216"/>
      <c r="J603" s="216">
        <f t="shared" ref="J603:J604" ca="1" si="298">J605+J607</f>
        <v>10420.7225</v>
      </c>
      <c r="K603" s="117"/>
      <c r="L603" s="117"/>
      <c r="M603" s="117"/>
      <c r="N603" s="117"/>
      <c r="O603" s="117"/>
      <c r="P603" s="718"/>
      <c r="Q603" s="480"/>
      <c r="R603" s="480"/>
      <c r="S603" s="480"/>
      <c r="T603" s="480"/>
      <c r="U603" s="480"/>
      <c r="V603" s="480"/>
      <c r="W603" s="480"/>
      <c r="X603" s="480"/>
      <c r="Y603" s="480"/>
      <c r="Z603" s="480"/>
    </row>
    <row r="604" spans="1:26" ht="20.25" customHeight="1">
      <c r="A604" s="810"/>
      <c r="B604" s="508"/>
      <c r="C604" s="508"/>
      <c r="D604" s="508"/>
      <c r="E604" s="574"/>
      <c r="F604" s="574"/>
      <c r="G604" s="599"/>
      <c r="H604" s="601" t="s">
        <v>32</v>
      </c>
      <c r="I604" s="216"/>
      <c r="J604" s="216">
        <f t="shared" ca="1" si="298"/>
        <v>1087</v>
      </c>
      <c r="K604" s="117"/>
      <c r="L604" s="117"/>
      <c r="M604" s="117"/>
      <c r="N604" s="117"/>
      <c r="O604" s="117"/>
      <c r="P604" s="718"/>
      <c r="Q604" s="480"/>
      <c r="R604" s="480"/>
      <c r="S604" s="480"/>
      <c r="T604" s="480"/>
      <c r="U604" s="480"/>
      <c r="V604" s="480"/>
      <c r="W604" s="480"/>
      <c r="X604" s="480"/>
      <c r="Y604" s="480"/>
      <c r="Z604" s="480"/>
    </row>
    <row r="605" spans="1:26" ht="20.25" customHeight="1">
      <c r="A605" s="810"/>
      <c r="B605" s="508"/>
      <c r="C605" s="508"/>
      <c r="D605" s="562" t="s">
        <v>257</v>
      </c>
      <c r="E605" s="574"/>
      <c r="F605" s="574"/>
      <c r="G605" s="599"/>
      <c r="H605" s="601" t="s">
        <v>44</v>
      </c>
      <c r="I605" s="216"/>
      <c r="J605" s="174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9494.7225)</f>
        <v>9494.7224999999999</v>
      </c>
      <c r="K605" s="117"/>
      <c r="L605" s="117"/>
      <c r="M605" s="117"/>
      <c r="N605" s="117"/>
      <c r="O605" s="117"/>
      <c r="P605" s="718"/>
      <c r="Q605" s="480"/>
      <c r="R605" s="480"/>
      <c r="S605" s="480"/>
      <c r="T605" s="480"/>
      <c r="U605" s="480"/>
      <c r="V605" s="480"/>
      <c r="W605" s="480"/>
      <c r="X605" s="480"/>
      <c r="Y605" s="480"/>
      <c r="Z605" s="480"/>
    </row>
    <row r="606" spans="1:26" ht="20.25" customHeight="1">
      <c r="A606" s="810"/>
      <c r="B606" s="508"/>
      <c r="C606" s="508"/>
      <c r="D606" s="508"/>
      <c r="E606" s="508"/>
      <c r="F606" s="574"/>
      <c r="G606" s="599"/>
      <c r="H606" s="601" t="s">
        <v>32</v>
      </c>
      <c r="I606" s="216"/>
      <c r="J606" s="174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1028)</f>
        <v>1028</v>
      </c>
      <c r="K606" s="117"/>
      <c r="L606" s="117"/>
      <c r="M606" s="117"/>
      <c r="N606" s="117"/>
      <c r="O606" s="117"/>
      <c r="P606" s="718"/>
      <c r="Q606" s="480"/>
      <c r="R606" s="480"/>
      <c r="S606" s="480"/>
      <c r="T606" s="480"/>
      <c r="U606" s="480"/>
      <c r="V606" s="480"/>
      <c r="W606" s="480"/>
      <c r="X606" s="480"/>
      <c r="Y606" s="480"/>
      <c r="Z606" s="480"/>
    </row>
    <row r="607" spans="1:26" ht="20.25" customHeight="1">
      <c r="A607" s="810"/>
      <c r="B607" s="508"/>
      <c r="C607" s="508"/>
      <c r="D607" s="562" t="s">
        <v>258</v>
      </c>
      <c r="E607" s="508"/>
      <c r="F607" s="574"/>
      <c r="G607" s="599"/>
      <c r="H607" s="601" t="s">
        <v>44</v>
      </c>
      <c r="I607" s="216"/>
      <c r="J607" s="174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926)</f>
        <v>926</v>
      </c>
      <c r="K607" s="117"/>
      <c r="L607" s="117"/>
      <c r="M607" s="117"/>
      <c r="N607" s="117"/>
      <c r="O607" s="117"/>
      <c r="P607" s="718"/>
      <c r="Q607" s="480"/>
      <c r="R607" s="480"/>
      <c r="S607" s="480"/>
      <c r="T607" s="480"/>
      <c r="U607" s="480"/>
      <c r="V607" s="480"/>
      <c r="W607" s="480"/>
      <c r="X607" s="480"/>
      <c r="Y607" s="480"/>
      <c r="Z607" s="480"/>
    </row>
    <row r="608" spans="1:26" ht="20.25" customHeight="1">
      <c r="A608" s="810"/>
      <c r="B608" s="508"/>
      <c r="C608" s="508"/>
      <c r="D608" s="508"/>
      <c r="E608" s="574"/>
      <c r="F608" s="574"/>
      <c r="G608" s="599"/>
      <c r="H608" s="601" t="s">
        <v>32</v>
      </c>
      <c r="I608" s="216"/>
      <c r="J608" s="174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59)</f>
        <v>59</v>
      </c>
      <c r="K608" s="117"/>
      <c r="L608" s="117"/>
      <c r="M608" s="117"/>
      <c r="N608" s="117"/>
      <c r="O608" s="117"/>
      <c r="P608" s="718"/>
      <c r="Q608" s="480"/>
      <c r="R608" s="480"/>
      <c r="S608" s="480"/>
      <c r="T608" s="480"/>
      <c r="U608" s="480"/>
      <c r="V608" s="480"/>
      <c r="W608" s="480"/>
      <c r="X608" s="480"/>
      <c r="Y608" s="480"/>
      <c r="Z608" s="480"/>
    </row>
    <row r="609" spans="1:26" ht="20.25" customHeight="1">
      <c r="A609" s="810"/>
      <c r="B609" s="508"/>
      <c r="C609" s="508" t="s">
        <v>259</v>
      </c>
      <c r="D609" s="508"/>
      <c r="E609" s="508"/>
      <c r="F609" s="574"/>
      <c r="G609" s="599"/>
      <c r="H609" s="601" t="s">
        <v>44</v>
      </c>
      <c r="I609" s="216"/>
      <c r="J609" s="174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2926.08799999999)</f>
        <v>2926.0879999999902</v>
      </c>
      <c r="K609" s="117"/>
      <c r="L609" s="117"/>
      <c r="M609" s="117"/>
      <c r="N609" s="117"/>
      <c r="O609" s="117"/>
      <c r="P609" s="718"/>
      <c r="Q609" s="480"/>
      <c r="R609" s="480"/>
      <c r="S609" s="480"/>
      <c r="T609" s="480"/>
      <c r="U609" s="480"/>
      <c r="V609" s="480"/>
      <c r="W609" s="480"/>
      <c r="X609" s="480"/>
      <c r="Y609" s="480"/>
      <c r="Z609" s="480"/>
    </row>
    <row r="610" spans="1:26" ht="20.25" customHeight="1">
      <c r="A610" s="810"/>
      <c r="B610" s="508"/>
      <c r="C610" s="508"/>
      <c r="D610" s="508"/>
      <c r="E610" s="574"/>
      <c r="F610" s="574"/>
      <c r="G610" s="599"/>
      <c r="H610" s="601" t="s">
        <v>32</v>
      </c>
      <c r="I610" s="216"/>
      <c r="J610" s="174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251)</f>
        <v>251</v>
      </c>
      <c r="K610" s="117"/>
      <c r="L610" s="117"/>
      <c r="M610" s="117"/>
      <c r="N610" s="117"/>
      <c r="O610" s="117"/>
      <c r="P610" s="718"/>
      <c r="Q610" s="480"/>
      <c r="R610" s="480"/>
      <c r="S610" s="480"/>
      <c r="T610" s="480"/>
      <c r="U610" s="480"/>
      <c r="V610" s="480"/>
      <c r="W610" s="480"/>
      <c r="X610" s="480"/>
      <c r="Y610" s="480"/>
      <c r="Z610" s="480"/>
    </row>
    <row r="611" spans="1:26" ht="20.25" customHeight="1">
      <c r="A611" s="820"/>
      <c r="B611" s="563" t="s">
        <v>260</v>
      </c>
      <c r="C611" s="553"/>
      <c r="D611" s="553"/>
      <c r="E611" s="540"/>
      <c r="F611" s="540"/>
      <c r="G611" s="541"/>
      <c r="H611" s="564" t="s">
        <v>44</v>
      </c>
      <c r="I611" s="565">
        <v>2500000</v>
      </c>
      <c r="J611" s="565">
        <f>J614+J616</f>
        <v>2976308</v>
      </c>
      <c r="K611" s="543">
        <f t="shared" ref="K611:K613" si="299">IF(I611&gt;0,J611*100/I611,0)</f>
        <v>119.05231999999999</v>
      </c>
      <c r="L611" s="544"/>
      <c r="M611" s="544"/>
      <c r="N611" s="544"/>
      <c r="O611" s="544"/>
      <c r="P611" s="818"/>
      <c r="Q611" s="480"/>
      <c r="R611" s="480"/>
      <c r="S611" s="480"/>
      <c r="T611" s="480"/>
      <c r="U611" s="480"/>
      <c r="V611" s="480"/>
      <c r="W611" s="480"/>
      <c r="X611" s="480"/>
      <c r="Y611" s="480"/>
      <c r="Z611" s="480"/>
    </row>
    <row r="612" spans="1:26" ht="20.25" customHeight="1">
      <c r="A612" s="825"/>
      <c r="B612" s="573"/>
      <c r="C612" s="566" t="s">
        <v>261</v>
      </c>
      <c r="D612" s="573"/>
      <c r="E612" s="573"/>
      <c r="F612" s="567"/>
      <c r="G612" s="568"/>
      <c r="H612" s="569" t="s">
        <v>44</v>
      </c>
      <c r="I612" s="570">
        <v>0</v>
      </c>
      <c r="J612" s="570">
        <f t="shared" ref="J612:J613" si="300">J614+J616</f>
        <v>2976308</v>
      </c>
      <c r="K612" s="571">
        <f t="shared" si="299"/>
        <v>0</v>
      </c>
      <c r="L612" s="572"/>
      <c r="M612" s="572"/>
      <c r="N612" s="572"/>
      <c r="O612" s="572"/>
      <c r="P612" s="826"/>
      <c r="Q612" s="480"/>
      <c r="R612" s="480"/>
      <c r="S612" s="480"/>
      <c r="T612" s="480"/>
      <c r="U612" s="480"/>
      <c r="V612" s="480"/>
      <c r="W612" s="480"/>
      <c r="X612" s="480"/>
      <c r="Y612" s="480"/>
      <c r="Z612" s="480"/>
    </row>
    <row r="613" spans="1:26" ht="20.25" customHeight="1">
      <c r="A613" s="825"/>
      <c r="B613" s="573"/>
      <c r="C613" s="573" t="s">
        <v>262</v>
      </c>
      <c r="D613" s="573"/>
      <c r="E613" s="573"/>
      <c r="F613" s="567"/>
      <c r="G613" s="568"/>
      <c r="H613" s="569" t="s">
        <v>32</v>
      </c>
      <c r="I613" s="570">
        <v>0</v>
      </c>
      <c r="J613" s="570">
        <f t="shared" si="300"/>
        <v>331022</v>
      </c>
      <c r="K613" s="571">
        <f t="shared" si="299"/>
        <v>0</v>
      </c>
      <c r="L613" s="572"/>
      <c r="M613" s="572"/>
      <c r="N613" s="572"/>
      <c r="O613" s="572"/>
      <c r="P613" s="826"/>
      <c r="Q613" s="480"/>
      <c r="R613" s="480"/>
      <c r="S613" s="480"/>
      <c r="T613" s="480"/>
      <c r="U613" s="480"/>
      <c r="V613" s="480"/>
      <c r="W613" s="480"/>
      <c r="X613" s="480"/>
      <c r="Y613" s="480"/>
      <c r="Z613" s="480"/>
    </row>
    <row r="614" spans="1:26" ht="20.25" customHeight="1">
      <c r="A614" s="810"/>
      <c r="B614" s="508"/>
      <c r="C614" s="508"/>
      <c r="D614" s="574" t="s">
        <v>263</v>
      </c>
      <c r="E614" s="508"/>
      <c r="F614" s="574"/>
      <c r="G614" s="599"/>
      <c r="H614" s="601" t="s">
        <v>44</v>
      </c>
      <c r="I614" s="216"/>
      <c r="J614" s="216">
        <v>2969716</v>
      </c>
      <c r="K614" s="117"/>
      <c r="L614" s="117"/>
      <c r="M614" s="117"/>
      <c r="N614" s="117"/>
      <c r="O614" s="117"/>
      <c r="P614" s="718"/>
      <c r="Q614" s="480"/>
      <c r="R614" s="480"/>
      <c r="S614" s="480"/>
      <c r="T614" s="480"/>
      <c r="U614" s="480"/>
      <c r="V614" s="480"/>
      <c r="W614" s="480"/>
      <c r="X614" s="480"/>
      <c r="Y614" s="480"/>
      <c r="Z614" s="480"/>
    </row>
    <row r="615" spans="1:26" ht="20.25" customHeight="1">
      <c r="A615" s="810"/>
      <c r="B615" s="508"/>
      <c r="C615" s="508"/>
      <c r="D615" s="508"/>
      <c r="E615" s="508"/>
      <c r="F615" s="574"/>
      <c r="G615" s="599"/>
      <c r="H615" s="601" t="s">
        <v>32</v>
      </c>
      <c r="I615" s="216"/>
      <c r="J615" s="216">
        <v>330563</v>
      </c>
      <c r="K615" s="117"/>
      <c r="L615" s="117"/>
      <c r="M615" s="117"/>
      <c r="N615" s="117"/>
      <c r="O615" s="117"/>
      <c r="P615" s="718"/>
      <c r="Q615" s="480"/>
      <c r="R615" s="480"/>
      <c r="S615" s="480"/>
      <c r="T615" s="480"/>
      <c r="U615" s="480"/>
      <c r="V615" s="480"/>
      <c r="W615" s="480"/>
      <c r="X615" s="480"/>
      <c r="Y615" s="480"/>
      <c r="Z615" s="480"/>
    </row>
    <row r="616" spans="1:26" ht="20.25" customHeight="1">
      <c r="A616" s="810"/>
      <c r="B616" s="508"/>
      <c r="C616" s="508"/>
      <c r="D616" s="586" t="s">
        <v>264</v>
      </c>
      <c r="E616" s="574"/>
      <c r="F616" s="574"/>
      <c r="G616" s="599"/>
      <c r="H616" s="601" t="s">
        <v>44</v>
      </c>
      <c r="I616" s="216"/>
      <c r="J616" s="216">
        <v>6592</v>
      </c>
      <c r="K616" s="117"/>
      <c r="L616" s="117"/>
      <c r="M616" s="117"/>
      <c r="N616" s="117"/>
      <c r="O616" s="117"/>
      <c r="P616" s="718"/>
      <c r="Q616" s="480"/>
      <c r="R616" s="480"/>
      <c r="S616" s="480"/>
      <c r="T616" s="480"/>
      <c r="U616" s="480"/>
      <c r="V616" s="480"/>
      <c r="W616" s="480"/>
      <c r="X616" s="480"/>
      <c r="Y616" s="480"/>
      <c r="Z616" s="480"/>
    </row>
    <row r="617" spans="1:26" ht="20.25" customHeight="1">
      <c r="A617" s="810"/>
      <c r="B617" s="508"/>
      <c r="C617" s="508"/>
      <c r="D617" s="508"/>
      <c r="E617" s="574"/>
      <c r="F617" s="574"/>
      <c r="G617" s="599"/>
      <c r="H617" s="601" t="s">
        <v>32</v>
      </c>
      <c r="I617" s="216"/>
      <c r="J617" s="216">
        <v>459</v>
      </c>
      <c r="K617" s="117"/>
      <c r="L617" s="117"/>
      <c r="M617" s="117"/>
      <c r="N617" s="117"/>
      <c r="O617" s="117"/>
      <c r="P617" s="718"/>
      <c r="Q617" s="480"/>
      <c r="R617" s="480"/>
      <c r="S617" s="480"/>
      <c r="T617" s="480"/>
      <c r="U617" s="480"/>
      <c r="V617" s="480"/>
      <c r="W617" s="480"/>
      <c r="X617" s="480"/>
      <c r="Y617" s="480"/>
      <c r="Z617" s="480"/>
    </row>
    <row r="618" spans="1:26" ht="20.25" hidden="1" customHeight="1">
      <c r="A618" s="810"/>
      <c r="B618" s="508"/>
      <c r="C618" s="508"/>
      <c r="D618" s="586" t="s">
        <v>265</v>
      </c>
      <c r="E618" s="574"/>
      <c r="F618" s="574"/>
      <c r="G618" s="599"/>
      <c r="H618" s="601" t="s">
        <v>44</v>
      </c>
      <c r="I618" s="216"/>
      <c r="J618" s="216">
        <v>0</v>
      </c>
      <c r="K618" s="117"/>
      <c r="L618" s="117"/>
      <c r="M618" s="117"/>
      <c r="N618" s="117"/>
      <c r="O618" s="117"/>
      <c r="P618" s="718"/>
      <c r="Q618" s="480"/>
      <c r="R618" s="480"/>
      <c r="S618" s="480"/>
      <c r="T618" s="480"/>
      <c r="U618" s="480"/>
      <c r="V618" s="480"/>
      <c r="W618" s="480"/>
      <c r="X618" s="480"/>
      <c r="Y618" s="480"/>
      <c r="Z618" s="480"/>
    </row>
    <row r="619" spans="1:26" ht="20.25" hidden="1" customHeight="1">
      <c r="A619" s="810"/>
      <c r="B619" s="508"/>
      <c r="C619" s="508"/>
      <c r="D619" s="508"/>
      <c r="E619" s="574"/>
      <c r="F619" s="574"/>
      <c r="G619" s="599"/>
      <c r="H619" s="601" t="s">
        <v>32</v>
      </c>
      <c r="I619" s="216"/>
      <c r="J619" s="216">
        <v>0</v>
      </c>
      <c r="K619" s="117"/>
      <c r="L619" s="117"/>
      <c r="M619" s="117"/>
      <c r="N619" s="117"/>
      <c r="O619" s="117"/>
      <c r="P619" s="718"/>
      <c r="Q619" s="480"/>
      <c r="R619" s="480"/>
      <c r="S619" s="480"/>
      <c r="T619" s="480"/>
      <c r="U619" s="480"/>
      <c r="V619" s="480"/>
      <c r="W619" s="480"/>
      <c r="X619" s="480"/>
      <c r="Y619" s="480"/>
      <c r="Z619" s="480"/>
    </row>
    <row r="620" spans="1:26" ht="20.25" customHeight="1">
      <c r="A620" s="825"/>
      <c r="B620" s="573"/>
      <c r="C620" s="566" t="s">
        <v>266</v>
      </c>
      <c r="D620" s="573"/>
      <c r="E620" s="573"/>
      <c r="F620" s="567"/>
      <c r="G620" s="568"/>
      <c r="H620" s="569" t="s">
        <v>44</v>
      </c>
      <c r="I620" s="570">
        <f t="shared" ref="I620:I621" si="301">J616</f>
        <v>6592</v>
      </c>
      <c r="J620" s="570">
        <f t="shared" ref="J620:J621" ca="1" si="302">J622+J624+J626</f>
        <v>1494</v>
      </c>
      <c r="K620" s="571">
        <f t="shared" ref="K620:K621" ca="1" si="303">IF(I620&gt;0,J620*100/I620,0)</f>
        <v>22.663834951456312</v>
      </c>
      <c r="L620" s="572"/>
      <c r="M620" s="572"/>
      <c r="N620" s="572"/>
      <c r="O620" s="572"/>
      <c r="P620" s="826"/>
      <c r="Q620" s="480"/>
      <c r="R620" s="480"/>
      <c r="S620" s="480"/>
      <c r="T620" s="480"/>
      <c r="U620" s="480"/>
      <c r="V620" s="480"/>
      <c r="W620" s="480"/>
      <c r="X620" s="480"/>
      <c r="Y620" s="480"/>
      <c r="Z620" s="480"/>
    </row>
    <row r="621" spans="1:26" ht="20.25" customHeight="1">
      <c r="A621" s="825"/>
      <c r="B621" s="573"/>
      <c r="C621" s="573" t="s">
        <v>267</v>
      </c>
      <c r="D621" s="573"/>
      <c r="E621" s="573"/>
      <c r="F621" s="567"/>
      <c r="G621" s="568"/>
      <c r="H621" s="569" t="s">
        <v>32</v>
      </c>
      <c r="I621" s="570">
        <f t="shared" si="301"/>
        <v>459</v>
      </c>
      <c r="J621" s="570">
        <f t="shared" ca="1" si="302"/>
        <v>131</v>
      </c>
      <c r="K621" s="571">
        <f t="shared" ca="1" si="303"/>
        <v>28.540305010893245</v>
      </c>
      <c r="L621" s="572"/>
      <c r="M621" s="572"/>
      <c r="N621" s="572"/>
      <c r="O621" s="572"/>
      <c r="P621" s="826"/>
      <c r="Q621" s="480"/>
      <c r="R621" s="480"/>
      <c r="S621" s="480"/>
      <c r="T621" s="480"/>
      <c r="U621" s="480"/>
      <c r="V621" s="480"/>
      <c r="W621" s="480"/>
      <c r="X621" s="480"/>
      <c r="Y621" s="480"/>
      <c r="Z621" s="480"/>
    </row>
    <row r="622" spans="1:26" ht="20.25" customHeight="1">
      <c r="A622" s="810"/>
      <c r="B622" s="508"/>
      <c r="C622" s="508"/>
      <c r="D622" s="586" t="s">
        <v>268</v>
      </c>
      <c r="E622" s="574"/>
      <c r="F622" s="574"/>
      <c r="G622" s="599"/>
      <c r="H622" s="601" t="s">
        <v>44</v>
      </c>
      <c r="I622" s="216"/>
      <c r="J622" s="174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785)</f>
        <v>785</v>
      </c>
      <c r="K622" s="117"/>
      <c r="L622" s="117"/>
      <c r="M622" s="117"/>
      <c r="N622" s="117"/>
      <c r="O622" s="117"/>
      <c r="P622" s="718"/>
      <c r="Q622" s="480"/>
      <c r="R622" s="480"/>
      <c r="S622" s="480"/>
      <c r="T622" s="480"/>
      <c r="U622" s="480"/>
      <c r="V622" s="480"/>
      <c r="W622" s="480"/>
      <c r="X622" s="480"/>
      <c r="Y622" s="480"/>
      <c r="Z622" s="480"/>
    </row>
    <row r="623" spans="1:26" ht="20.25" customHeight="1">
      <c r="A623" s="810"/>
      <c r="B623" s="508"/>
      <c r="C623" s="508"/>
      <c r="D623" s="508"/>
      <c r="E623" s="574"/>
      <c r="F623" s="574"/>
      <c r="G623" s="599"/>
      <c r="H623" s="601" t="s">
        <v>32</v>
      </c>
      <c r="I623" s="216"/>
      <c r="J623" s="174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55)</f>
        <v>55</v>
      </c>
      <c r="K623" s="117"/>
      <c r="L623" s="117"/>
      <c r="M623" s="117"/>
      <c r="N623" s="117"/>
      <c r="O623" s="117"/>
      <c r="P623" s="718"/>
      <c r="Q623" s="480"/>
      <c r="R623" s="480"/>
      <c r="S623" s="480"/>
      <c r="T623" s="480"/>
      <c r="U623" s="480"/>
      <c r="V623" s="480"/>
      <c r="W623" s="480"/>
      <c r="X623" s="480"/>
      <c r="Y623" s="480"/>
      <c r="Z623" s="480"/>
    </row>
    <row r="624" spans="1:26" ht="20.25" customHeight="1">
      <c r="A624" s="810"/>
      <c r="B624" s="508"/>
      <c r="C624" s="508"/>
      <c r="D624" s="586" t="s">
        <v>269</v>
      </c>
      <c r="E624" s="574"/>
      <c r="F624" s="574"/>
      <c r="G624" s="599"/>
      <c r="H624" s="601" t="s">
        <v>44</v>
      </c>
      <c r="I624" s="216"/>
      <c r="J624" s="174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372)</f>
        <v>372</v>
      </c>
      <c r="K624" s="117"/>
      <c r="L624" s="117"/>
      <c r="M624" s="117"/>
      <c r="N624" s="117"/>
      <c r="O624" s="117"/>
      <c r="P624" s="718"/>
      <c r="Q624" s="480"/>
      <c r="R624" s="480"/>
      <c r="S624" s="480"/>
      <c r="T624" s="480"/>
      <c r="U624" s="480"/>
      <c r="V624" s="480"/>
      <c r="W624" s="480"/>
      <c r="X624" s="480"/>
      <c r="Y624" s="480"/>
      <c r="Z624" s="480"/>
    </row>
    <row r="625" spans="1:26" ht="20.25" customHeight="1">
      <c r="A625" s="810"/>
      <c r="B625" s="508"/>
      <c r="C625" s="508"/>
      <c r="D625" s="508"/>
      <c r="E625" s="574"/>
      <c r="F625" s="574"/>
      <c r="G625" s="599"/>
      <c r="H625" s="601" t="s">
        <v>32</v>
      </c>
      <c r="I625" s="216"/>
      <c r="J625" s="174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43)</f>
        <v>43</v>
      </c>
      <c r="K625" s="117"/>
      <c r="L625" s="117"/>
      <c r="M625" s="117"/>
      <c r="N625" s="117"/>
      <c r="O625" s="117"/>
      <c r="P625" s="718"/>
      <c r="Q625" s="480"/>
      <c r="R625" s="480"/>
      <c r="S625" s="480"/>
      <c r="T625" s="480"/>
      <c r="U625" s="480"/>
      <c r="V625" s="480"/>
      <c r="W625" s="480"/>
      <c r="X625" s="480"/>
      <c r="Y625" s="480"/>
      <c r="Z625" s="480"/>
    </row>
    <row r="626" spans="1:26" ht="20.25" customHeight="1">
      <c r="A626" s="810"/>
      <c r="B626" s="508"/>
      <c r="C626" s="508"/>
      <c r="D626" s="586" t="s">
        <v>270</v>
      </c>
      <c r="E626" s="574"/>
      <c r="F626" s="574"/>
      <c r="G626" s="599"/>
      <c r="H626" s="601" t="s">
        <v>44</v>
      </c>
      <c r="I626" s="216"/>
      <c r="J626" s="174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337)</f>
        <v>337</v>
      </c>
      <c r="K626" s="117"/>
      <c r="L626" s="117"/>
      <c r="M626" s="117"/>
      <c r="N626" s="117"/>
      <c r="O626" s="117"/>
      <c r="P626" s="718"/>
      <c r="Q626" s="480"/>
      <c r="R626" s="480"/>
      <c r="S626" s="480"/>
      <c r="T626" s="480"/>
      <c r="U626" s="480"/>
      <c r="V626" s="480"/>
      <c r="W626" s="480"/>
      <c r="X626" s="480"/>
      <c r="Y626" s="480"/>
      <c r="Z626" s="480"/>
    </row>
    <row r="627" spans="1:26" ht="20.25" customHeight="1">
      <c r="A627" s="827"/>
      <c r="B627" s="575"/>
      <c r="C627" s="575"/>
      <c r="D627" s="575"/>
      <c r="E627" s="576"/>
      <c r="F627" s="576"/>
      <c r="G627" s="577"/>
      <c r="H627" s="578" t="s">
        <v>32</v>
      </c>
      <c r="I627" s="284"/>
      <c r="J627" s="579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33)</f>
        <v>33</v>
      </c>
      <c r="K627" s="285"/>
      <c r="L627" s="285"/>
      <c r="M627" s="285"/>
      <c r="N627" s="285"/>
      <c r="O627" s="285"/>
      <c r="P627" s="749"/>
      <c r="Q627" s="480"/>
      <c r="R627" s="480"/>
      <c r="S627" s="480"/>
      <c r="T627" s="480"/>
      <c r="U627" s="480"/>
      <c r="V627" s="480"/>
      <c r="W627" s="480"/>
      <c r="X627" s="480"/>
      <c r="Y627" s="480"/>
      <c r="Z627" s="480"/>
    </row>
    <row r="628" spans="1:26" ht="20.25" customHeight="1">
      <c r="A628" s="828">
        <v>7</v>
      </c>
      <c r="B628" s="580" t="s">
        <v>271</v>
      </c>
      <c r="C628" s="581"/>
      <c r="D628" s="581"/>
      <c r="E628" s="581"/>
      <c r="F628" s="581"/>
      <c r="G628" s="582"/>
      <c r="H628" s="583" t="s">
        <v>33</v>
      </c>
      <c r="I628" s="611">
        <f t="shared" ref="I628:J628" ca="1" si="304">I651</f>
        <v>13000</v>
      </c>
      <c r="J628" s="611">
        <f t="shared" ca="1" si="304"/>
        <v>5887</v>
      </c>
      <c r="K628" s="584">
        <f ca="1">IF(I628&gt;0,J628*100/I628,0)</f>
        <v>45.284615384615385</v>
      </c>
      <c r="L628" s="585"/>
      <c r="M628" s="585"/>
      <c r="N628" s="585"/>
      <c r="O628" s="585"/>
      <c r="P628" s="829"/>
      <c r="Q628" s="480"/>
      <c r="R628" s="480"/>
      <c r="S628" s="480"/>
      <c r="T628" s="480"/>
      <c r="U628" s="480"/>
      <c r="V628" s="480"/>
      <c r="W628" s="480"/>
      <c r="X628" s="480"/>
      <c r="Y628" s="480"/>
      <c r="Z628" s="480"/>
    </row>
    <row r="629" spans="1:26" ht="20.25" customHeight="1">
      <c r="A629" s="808"/>
      <c r="B629" s="600"/>
      <c r="C629" s="860" t="s">
        <v>14</v>
      </c>
      <c r="D629" s="861" t="s">
        <v>15</v>
      </c>
      <c r="E629" s="862"/>
      <c r="F629" s="862"/>
      <c r="G629" s="479"/>
      <c r="H629" s="114" t="s">
        <v>12</v>
      </c>
      <c r="I629" s="216"/>
      <c r="J629" s="216"/>
      <c r="K629" s="63"/>
      <c r="L629" s="23">
        <f t="shared" ref="L629:N629" ca="1" si="305">L630+L631</f>
        <v>32903300</v>
      </c>
      <c r="M629" s="23">
        <f t="shared" ca="1" si="305"/>
        <v>32903300</v>
      </c>
      <c r="N629" s="23">
        <f t="shared" ca="1" si="305"/>
        <v>14130765.620000001</v>
      </c>
      <c r="O629" s="23">
        <f t="shared" ref="O629:O634" ca="1" si="306">IF(L629&gt;0,N629*100/L629,0)</f>
        <v>42.946347691568931</v>
      </c>
      <c r="P629" s="682">
        <f t="shared" ref="P629:P634" ca="1" si="307">IF(M629&gt;0,N629*100/M629,0)</f>
        <v>42.946347691568931</v>
      </c>
      <c r="Q629" s="480"/>
      <c r="R629" s="480"/>
      <c r="S629" s="480"/>
      <c r="T629" s="480"/>
      <c r="U629" s="480"/>
      <c r="V629" s="480"/>
      <c r="W629" s="480"/>
      <c r="X629" s="480"/>
      <c r="Y629" s="480"/>
      <c r="Z629" s="480"/>
    </row>
    <row r="630" spans="1:26" ht="20.25" customHeight="1">
      <c r="A630" s="808"/>
      <c r="B630" s="600"/>
      <c r="C630" s="600"/>
      <c r="D630" s="574"/>
      <c r="E630" s="600" t="s">
        <v>183</v>
      </c>
      <c r="F630" s="600"/>
      <c r="G630" s="479"/>
      <c r="H630" s="623" t="s">
        <v>12</v>
      </c>
      <c r="I630" s="216"/>
      <c r="J630" s="216"/>
      <c r="K630" s="63"/>
      <c r="L630" s="63">
        <f t="shared" ref="L630:N630" ca="1" si="308">L633+L640</f>
        <v>10045860</v>
      </c>
      <c r="M630" s="63">
        <f t="shared" ca="1" si="308"/>
        <v>10045860</v>
      </c>
      <c r="N630" s="63">
        <f t="shared" ca="1" si="308"/>
        <v>1060218.97</v>
      </c>
      <c r="O630" s="63">
        <f t="shared" ca="1" si="306"/>
        <v>10.55379001897299</v>
      </c>
      <c r="P630" s="684">
        <f t="shared" ca="1" si="307"/>
        <v>10.55379001897299</v>
      </c>
      <c r="Q630" s="480"/>
      <c r="R630" s="480"/>
      <c r="S630" s="480"/>
      <c r="T630" s="480"/>
      <c r="U630" s="480"/>
      <c r="V630" s="480"/>
      <c r="W630" s="480"/>
      <c r="X630" s="480"/>
      <c r="Y630" s="480"/>
      <c r="Z630" s="480"/>
    </row>
    <row r="631" spans="1:26" ht="20.25" customHeight="1">
      <c r="A631" s="808"/>
      <c r="B631" s="504"/>
      <c r="C631" s="600"/>
      <c r="D631" s="574"/>
      <c r="E631" s="600" t="s">
        <v>184</v>
      </c>
      <c r="F631" s="600"/>
      <c r="G631" s="479"/>
      <c r="H631" s="623" t="s">
        <v>12</v>
      </c>
      <c r="I631" s="216"/>
      <c r="J631" s="216"/>
      <c r="K631" s="63"/>
      <c r="L631" s="63">
        <f t="shared" ref="L631:N631" ca="1" si="309">L634+L641</f>
        <v>22857440</v>
      </c>
      <c r="M631" s="63">
        <f t="shared" ca="1" si="309"/>
        <v>22857440</v>
      </c>
      <c r="N631" s="63">
        <f t="shared" ca="1" si="309"/>
        <v>13070546.65</v>
      </c>
      <c r="O631" s="63">
        <f t="shared" ca="1" si="306"/>
        <v>57.182898216073191</v>
      </c>
      <c r="P631" s="684">
        <f t="shared" ca="1" si="307"/>
        <v>57.182898216073191</v>
      </c>
      <c r="Q631" s="480"/>
      <c r="R631" s="480"/>
      <c r="S631" s="480"/>
      <c r="T631" s="480"/>
      <c r="U631" s="480"/>
      <c r="V631" s="480"/>
      <c r="W631" s="480"/>
      <c r="X631" s="480"/>
      <c r="Y631" s="480"/>
      <c r="Z631" s="480"/>
    </row>
    <row r="632" spans="1:26" ht="20.25" customHeight="1">
      <c r="A632" s="809"/>
      <c r="B632" s="499"/>
      <c r="C632" s="500"/>
      <c r="D632" s="501" t="s">
        <v>18</v>
      </c>
      <c r="E632" s="500"/>
      <c r="F632" s="500"/>
      <c r="G632" s="502"/>
      <c r="H632" s="114" t="s">
        <v>12</v>
      </c>
      <c r="I632" s="115"/>
      <c r="J632" s="115"/>
      <c r="K632" s="116"/>
      <c r="L632" s="23">
        <f t="shared" ref="L632:N632" ca="1" si="310">L633+L634</f>
        <v>32903300</v>
      </c>
      <c r="M632" s="23">
        <f t="shared" ca="1" si="310"/>
        <v>32903300</v>
      </c>
      <c r="N632" s="23">
        <f t="shared" ca="1" si="310"/>
        <v>14130765.620000001</v>
      </c>
      <c r="O632" s="23">
        <f t="shared" ca="1" si="306"/>
        <v>42.946347691568931</v>
      </c>
      <c r="P632" s="682">
        <f t="shared" ca="1" si="307"/>
        <v>42.946347691568931</v>
      </c>
      <c r="Q632" s="503"/>
      <c r="R632" s="503"/>
      <c r="S632" s="503"/>
      <c r="T632" s="503"/>
      <c r="U632" s="503"/>
      <c r="V632" s="503"/>
      <c r="W632" s="503"/>
      <c r="X632" s="503"/>
      <c r="Y632" s="503"/>
      <c r="Z632" s="503"/>
    </row>
    <row r="633" spans="1:26" ht="20.25" customHeight="1">
      <c r="A633" s="808"/>
      <c r="B633" s="504"/>
      <c r="C633" s="600"/>
      <c r="D633" s="574"/>
      <c r="E633" s="600" t="s">
        <v>183</v>
      </c>
      <c r="F633" s="600"/>
      <c r="G633" s="479"/>
      <c r="H633" s="623" t="s">
        <v>12</v>
      </c>
      <c r="I633" s="216"/>
      <c r="J633" s="216"/>
      <c r="K633" s="63"/>
      <c r="L633" s="63">
        <f ca="1">IFERROR(__xludf.DUMMYFUNCTION("IMPORTRANGE(""https://docs.google.com/spreadsheets/d/1QqKyyYR6Q21VydFLVH3TRQUabQu_ym0Zz7PgGX0-kHA/edit?usp=sharing"",""แผน!HM11"")"),10045860)</f>
        <v>10045860</v>
      </c>
      <c r="M633" s="63">
        <f ca="1">L633</f>
        <v>10045860</v>
      </c>
      <c r="N633" s="63">
        <f ca="1">IFERROR(__xludf.DUMMYFUNCTION("IMPORTRANGE(""https://docs.google.com/spreadsheets/d/1WhzDrMlrZfqSjGYJh0xYjRtGVhp5LiCqlO7EaAHfOOk/edit?usp=sharing"",""sheet1!AY6"")"),1060218.97)</f>
        <v>1060218.97</v>
      </c>
      <c r="O633" s="63">
        <f t="shared" ca="1" si="306"/>
        <v>10.55379001897299</v>
      </c>
      <c r="P633" s="684">
        <f t="shared" ca="1" si="307"/>
        <v>10.55379001897299</v>
      </c>
      <c r="Q633" s="480"/>
      <c r="R633" s="480"/>
      <c r="S633" s="480"/>
      <c r="T633" s="480"/>
      <c r="U633" s="480"/>
      <c r="V633" s="480"/>
      <c r="W633" s="480"/>
      <c r="X633" s="480"/>
      <c r="Y633" s="480"/>
      <c r="Z633" s="480"/>
    </row>
    <row r="634" spans="1:26" ht="20.25" customHeight="1">
      <c r="A634" s="808"/>
      <c r="B634" s="504"/>
      <c r="C634" s="600"/>
      <c r="D634" s="574"/>
      <c r="E634" s="600" t="s">
        <v>184</v>
      </c>
      <c r="F634" s="600"/>
      <c r="G634" s="479"/>
      <c r="H634" s="623" t="s">
        <v>12</v>
      </c>
      <c r="I634" s="216"/>
      <c r="J634" s="216"/>
      <c r="K634" s="63"/>
      <c r="L634" s="63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63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63">
        <f ca="1">N635+N636+N637+N638</f>
        <v>13070546.65</v>
      </c>
      <c r="O634" s="63">
        <f t="shared" ca="1" si="306"/>
        <v>57.182898216073191</v>
      </c>
      <c r="P634" s="684">
        <f t="shared" ca="1" si="307"/>
        <v>57.182898216073191</v>
      </c>
      <c r="Q634" s="480"/>
      <c r="R634" s="480"/>
      <c r="S634" s="480"/>
      <c r="T634" s="480"/>
      <c r="U634" s="480"/>
      <c r="V634" s="480"/>
      <c r="W634" s="480"/>
      <c r="X634" s="480"/>
      <c r="Y634" s="480"/>
      <c r="Z634" s="480"/>
    </row>
    <row r="635" spans="1:26" ht="20.25" customHeight="1">
      <c r="A635" s="801"/>
      <c r="B635" s="504"/>
      <c r="C635" s="600"/>
      <c r="D635" s="600"/>
      <c r="E635" s="600"/>
      <c r="F635" s="600" t="s">
        <v>185</v>
      </c>
      <c r="G635" s="479"/>
      <c r="H635" s="623" t="s">
        <v>12</v>
      </c>
      <c r="I635" s="216"/>
      <c r="J635" s="216"/>
      <c r="K635" s="63"/>
      <c r="L635" s="63"/>
      <c r="M635" s="63"/>
      <c r="N635" s="227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0)</f>
        <v>0</v>
      </c>
      <c r="O635" s="63"/>
      <c r="P635" s="684"/>
      <c r="Q635" s="480"/>
      <c r="R635" s="480"/>
      <c r="S635" s="480"/>
      <c r="T635" s="480"/>
      <c r="U635" s="480"/>
      <c r="V635" s="480"/>
      <c r="W635" s="480"/>
      <c r="X635" s="480"/>
      <c r="Y635" s="480"/>
      <c r="Z635" s="480"/>
    </row>
    <row r="636" spans="1:26" ht="20.25" customHeight="1">
      <c r="A636" s="801"/>
      <c r="B636" s="504"/>
      <c r="C636" s="600"/>
      <c r="D636" s="600"/>
      <c r="E636" s="600"/>
      <c r="F636" s="600" t="s">
        <v>186</v>
      </c>
      <c r="G636" s="479"/>
      <c r="H636" s="623" t="s">
        <v>12</v>
      </c>
      <c r="I636" s="216"/>
      <c r="J636" s="216"/>
      <c r="K636" s="63"/>
      <c r="L636" s="63"/>
      <c r="M636" s="63"/>
      <c r="N636" s="227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107355)</f>
        <v>107355</v>
      </c>
      <c r="O636" s="63"/>
      <c r="P636" s="684"/>
      <c r="Q636" s="480"/>
      <c r="R636" s="480"/>
      <c r="S636" s="480"/>
      <c r="T636" s="480"/>
      <c r="U636" s="480"/>
      <c r="V636" s="480"/>
      <c r="W636" s="480"/>
      <c r="X636" s="480"/>
      <c r="Y636" s="480"/>
      <c r="Z636" s="480"/>
    </row>
    <row r="637" spans="1:26" ht="20.25" customHeight="1">
      <c r="A637" s="801"/>
      <c r="B637" s="504"/>
      <c r="C637" s="600"/>
      <c r="D637" s="600"/>
      <c r="E637" s="600"/>
      <c r="F637" s="600" t="s">
        <v>187</v>
      </c>
      <c r="G637" s="479"/>
      <c r="H637" s="623" t="s">
        <v>12</v>
      </c>
      <c r="I637" s="216"/>
      <c r="J637" s="216"/>
      <c r="K637" s="63"/>
      <c r="L637" s="63"/>
      <c r="M637" s="63"/>
      <c r="N637" s="227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3971706.31)</f>
        <v>3971706.31</v>
      </c>
      <c r="O637" s="63"/>
      <c r="P637" s="684"/>
      <c r="Q637" s="480"/>
      <c r="R637" s="480"/>
      <c r="S637" s="480"/>
      <c r="T637" s="480"/>
      <c r="U637" s="480"/>
      <c r="V637" s="480"/>
      <c r="W637" s="480"/>
      <c r="X637" s="480"/>
      <c r="Y637" s="480"/>
      <c r="Z637" s="480"/>
    </row>
    <row r="638" spans="1:26" ht="20.25" customHeight="1">
      <c r="A638" s="801"/>
      <c r="B638" s="504"/>
      <c r="C638" s="600"/>
      <c r="D638" s="600"/>
      <c r="E638" s="600"/>
      <c r="F638" s="600" t="s">
        <v>188</v>
      </c>
      <c r="G638" s="479"/>
      <c r="H638" s="623" t="s">
        <v>12</v>
      </c>
      <c r="I638" s="216"/>
      <c r="J638" s="216"/>
      <c r="K638" s="63"/>
      <c r="L638" s="63"/>
      <c r="M638" s="63"/>
      <c r="N638" s="227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8991485.34)</f>
        <v>8991485.3399999999</v>
      </c>
      <c r="O638" s="63"/>
      <c r="P638" s="684"/>
      <c r="Q638" s="480"/>
      <c r="R638" s="480"/>
      <c r="S638" s="480"/>
      <c r="T638" s="480"/>
      <c r="U638" s="480"/>
      <c r="V638" s="480"/>
      <c r="W638" s="480"/>
      <c r="X638" s="480"/>
      <c r="Y638" s="480"/>
      <c r="Z638" s="480"/>
    </row>
    <row r="639" spans="1:26" ht="20.25" customHeight="1">
      <c r="A639" s="809"/>
      <c r="B639" s="499"/>
      <c r="C639" s="500"/>
      <c r="D639" s="501" t="s">
        <v>19</v>
      </c>
      <c r="E639" s="500"/>
      <c r="F639" s="500"/>
      <c r="G639" s="502"/>
      <c r="H639" s="118" t="s">
        <v>12</v>
      </c>
      <c r="I639" s="115"/>
      <c r="J639" s="115"/>
      <c r="K639" s="116"/>
      <c r="L639" s="23">
        <f t="shared" ref="L639:N639" ca="1" si="311">L640+L641</f>
        <v>0</v>
      </c>
      <c r="M639" s="23">
        <f t="shared" si="311"/>
        <v>0</v>
      </c>
      <c r="N639" s="23">
        <f t="shared" ca="1" si="311"/>
        <v>0</v>
      </c>
      <c r="O639" s="23">
        <f t="shared" ref="O639:O641" ca="1" si="312">IF(L639&gt;0,N639*100/L639,0)</f>
        <v>0</v>
      </c>
      <c r="P639" s="682">
        <f t="shared" ref="P639:P641" si="313">IF(M639&gt;0,N639*100/M639,0)</f>
        <v>0</v>
      </c>
      <c r="Q639" s="503"/>
      <c r="R639" s="503"/>
      <c r="S639" s="503"/>
      <c r="T639" s="503"/>
      <c r="U639" s="503"/>
      <c r="V639" s="503"/>
      <c r="W639" s="503"/>
      <c r="X639" s="503"/>
      <c r="Y639" s="503"/>
      <c r="Z639" s="503"/>
    </row>
    <row r="640" spans="1:26" ht="20.25" customHeight="1">
      <c r="A640" s="808"/>
      <c r="B640" s="504"/>
      <c r="C640" s="600"/>
      <c r="D640" s="600"/>
      <c r="E640" s="600" t="s">
        <v>16</v>
      </c>
      <c r="F640" s="600"/>
      <c r="G640" s="479"/>
      <c r="H640" s="623" t="s">
        <v>12</v>
      </c>
      <c r="I640" s="128"/>
      <c r="J640" s="128"/>
      <c r="K640" s="117"/>
      <c r="L640" s="63">
        <v>0</v>
      </c>
      <c r="M640" s="63">
        <v>0</v>
      </c>
      <c r="N640" s="63">
        <f ca="1">IFERROR(__xludf.DUMMYFUNCTION("IMPORTRANGE(""https://docs.google.com/spreadsheets/d/1WhzDrMlrZfqSjGYJh0xYjRtGVhp5LiCqlO7EaAHfOOk/edit?usp=sharing"",""sheet1!BA6"")"),0)</f>
        <v>0</v>
      </c>
      <c r="O640" s="63">
        <f t="shared" si="312"/>
        <v>0</v>
      </c>
      <c r="P640" s="684">
        <f t="shared" si="313"/>
        <v>0</v>
      </c>
      <c r="Q640" s="480"/>
      <c r="R640" s="480"/>
      <c r="S640" s="480"/>
      <c r="T640" s="480"/>
      <c r="U640" s="480"/>
      <c r="V640" s="480"/>
      <c r="W640" s="480"/>
      <c r="X640" s="480"/>
      <c r="Y640" s="480"/>
      <c r="Z640" s="480"/>
    </row>
    <row r="641" spans="1:26" ht="20.25" customHeight="1">
      <c r="A641" s="808"/>
      <c r="B641" s="504"/>
      <c r="C641" s="600"/>
      <c r="D641" s="600"/>
      <c r="E641" s="600" t="s">
        <v>17</v>
      </c>
      <c r="F641" s="600"/>
      <c r="G641" s="479"/>
      <c r="H641" s="119" t="s">
        <v>12</v>
      </c>
      <c r="I641" s="128"/>
      <c r="J641" s="128"/>
      <c r="K641" s="117"/>
      <c r="L641" s="63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63">
        <v>0</v>
      </c>
      <c r="N641" s="63">
        <v>0</v>
      </c>
      <c r="O641" s="63">
        <f t="shared" ca="1" si="312"/>
        <v>0</v>
      </c>
      <c r="P641" s="684">
        <f t="shared" si="313"/>
        <v>0</v>
      </c>
      <c r="Q641" s="480"/>
      <c r="R641" s="480"/>
      <c r="S641" s="480"/>
      <c r="T641" s="480"/>
      <c r="U641" s="480"/>
      <c r="V641" s="480"/>
      <c r="W641" s="480"/>
      <c r="X641" s="480"/>
      <c r="Y641" s="480"/>
      <c r="Z641" s="480"/>
    </row>
    <row r="642" spans="1:26" ht="20.25" customHeight="1">
      <c r="A642" s="810"/>
      <c r="B642" s="508"/>
      <c r="C642" s="860" t="s">
        <v>14</v>
      </c>
      <c r="D642" s="525" t="s">
        <v>36</v>
      </c>
      <c r="E642" s="598"/>
      <c r="F642" s="598"/>
      <c r="G642" s="507"/>
      <c r="H642" s="599"/>
      <c r="I642" s="128"/>
      <c r="J642" s="128"/>
      <c r="K642" s="117"/>
      <c r="L642" s="117"/>
      <c r="M642" s="117"/>
      <c r="N642" s="117"/>
      <c r="O642" s="117"/>
      <c r="P642" s="718"/>
      <c r="Q642" s="480"/>
      <c r="R642" s="480"/>
      <c r="S642" s="480"/>
      <c r="T642" s="480"/>
      <c r="U642" s="480"/>
      <c r="V642" s="480"/>
      <c r="W642" s="480"/>
      <c r="X642" s="480"/>
      <c r="Y642" s="480"/>
      <c r="Z642" s="480"/>
    </row>
    <row r="643" spans="1:26" ht="20.25" customHeight="1">
      <c r="A643" s="830"/>
      <c r="B643" s="504"/>
      <c r="C643" s="600"/>
      <c r="D643" s="574"/>
      <c r="E643" s="586" t="s">
        <v>272</v>
      </c>
      <c r="F643" s="574"/>
      <c r="G643" s="599"/>
      <c r="H643" s="601" t="s">
        <v>273</v>
      </c>
      <c r="I643" s="216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4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30)</f>
        <v>30</v>
      </c>
      <c r="K643" s="117">
        <f t="shared" ref="K643:K652" ca="1" si="314">IF(I643&gt;0,J643*100/I643,0)</f>
        <v>83.333333333333329</v>
      </c>
      <c r="L643" s="117"/>
      <c r="M643" s="117"/>
      <c r="N643" s="63"/>
      <c r="O643" s="117"/>
      <c r="P643" s="718"/>
      <c r="Q643" s="480"/>
      <c r="R643" s="480"/>
      <c r="S643" s="480"/>
      <c r="T643" s="480"/>
      <c r="U643" s="480"/>
      <c r="V643" s="480"/>
      <c r="W643" s="480"/>
      <c r="X643" s="480"/>
      <c r="Y643" s="480"/>
      <c r="Z643" s="480"/>
    </row>
    <row r="644" spans="1:26" ht="20.25" customHeight="1">
      <c r="A644" s="830"/>
      <c r="B644" s="504"/>
      <c r="C644" s="600"/>
      <c r="D644" s="574"/>
      <c r="E644" s="586" t="s">
        <v>274</v>
      </c>
      <c r="F644" s="574"/>
      <c r="G644" s="599"/>
      <c r="H644" s="601" t="s">
        <v>273</v>
      </c>
      <c r="I644" s="216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4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24)</f>
        <v>24</v>
      </c>
      <c r="K644" s="117">
        <f t="shared" ca="1" si="314"/>
        <v>92.307692307692307</v>
      </c>
      <c r="L644" s="117"/>
      <c r="M644" s="117"/>
      <c r="N644" s="63"/>
      <c r="O644" s="117"/>
      <c r="P644" s="718"/>
      <c r="Q644" s="480"/>
      <c r="R644" s="480"/>
      <c r="S644" s="480"/>
      <c r="T644" s="480"/>
      <c r="U644" s="480"/>
      <c r="V644" s="480"/>
      <c r="W644" s="480"/>
      <c r="X644" s="480"/>
      <c r="Y644" s="480"/>
      <c r="Z644" s="480"/>
    </row>
    <row r="645" spans="1:26" ht="20.25" customHeight="1">
      <c r="A645" s="830"/>
      <c r="B645" s="504"/>
      <c r="C645" s="600"/>
      <c r="D645" s="574"/>
      <c r="E645" s="586" t="s">
        <v>275</v>
      </c>
      <c r="F645" s="574"/>
      <c r="G645" s="599"/>
      <c r="H645" s="601" t="s">
        <v>32</v>
      </c>
      <c r="I645" s="216">
        <v>0</v>
      </c>
      <c r="J645" s="216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8714)</f>
        <v>8714</v>
      </c>
      <c r="K645" s="117">
        <f t="shared" si="314"/>
        <v>0</v>
      </c>
      <c r="L645" s="117"/>
      <c r="M645" s="117"/>
      <c r="N645" s="63"/>
      <c r="O645" s="117"/>
      <c r="P645" s="718"/>
      <c r="Q645" s="480"/>
      <c r="R645" s="480"/>
      <c r="S645" s="480"/>
      <c r="T645" s="480"/>
      <c r="U645" s="480"/>
      <c r="V645" s="480"/>
      <c r="W645" s="480"/>
      <c r="X645" s="480"/>
      <c r="Y645" s="480"/>
      <c r="Z645" s="480"/>
    </row>
    <row r="646" spans="1:26" ht="20.25" customHeight="1">
      <c r="A646" s="830"/>
      <c r="B646" s="504"/>
      <c r="C646" s="600"/>
      <c r="D646" s="574"/>
      <c r="E646" s="574"/>
      <c r="F646" s="574"/>
      <c r="G646" s="599"/>
      <c r="H646" s="601" t="s">
        <v>44</v>
      </c>
      <c r="I646" s="216">
        <v>0</v>
      </c>
      <c r="J646" s="216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5471.15999999999)</f>
        <v>5471.1599999999899</v>
      </c>
      <c r="K646" s="63">
        <f t="shared" si="314"/>
        <v>0</v>
      </c>
      <c r="L646" s="117"/>
      <c r="M646" s="117"/>
      <c r="N646" s="63"/>
      <c r="O646" s="117"/>
      <c r="P646" s="718"/>
      <c r="Q646" s="480"/>
      <c r="R646" s="480"/>
      <c r="S646" s="480"/>
      <c r="T646" s="480"/>
      <c r="U646" s="480"/>
      <c r="V646" s="480"/>
      <c r="W646" s="480"/>
      <c r="X646" s="480"/>
      <c r="Y646" s="480"/>
      <c r="Z646" s="480"/>
    </row>
    <row r="647" spans="1:26" ht="20.25" customHeight="1">
      <c r="A647" s="830"/>
      <c r="B647" s="504"/>
      <c r="C647" s="600"/>
      <c r="D647" s="574"/>
      <c r="E647" s="586" t="s">
        <v>160</v>
      </c>
      <c r="F647" s="574"/>
      <c r="G647" s="599"/>
      <c r="H647" s="601" t="s">
        <v>33</v>
      </c>
      <c r="I647" s="216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16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9986)</f>
        <v>9986</v>
      </c>
      <c r="K647" s="117">
        <f t="shared" ca="1" si="314"/>
        <v>76.815384615384616</v>
      </c>
      <c r="L647" s="117"/>
      <c r="M647" s="117"/>
      <c r="N647" s="117"/>
      <c r="O647" s="117"/>
      <c r="P647" s="718"/>
      <c r="Q647" s="480"/>
      <c r="R647" s="480"/>
      <c r="S647" s="480"/>
      <c r="T647" s="480"/>
      <c r="U647" s="480"/>
      <c r="V647" s="480"/>
      <c r="W647" s="480"/>
      <c r="X647" s="480"/>
      <c r="Y647" s="480"/>
      <c r="Z647" s="480"/>
    </row>
    <row r="648" spans="1:26" ht="20.25" customHeight="1">
      <c r="A648" s="830"/>
      <c r="B648" s="504"/>
      <c r="C648" s="600"/>
      <c r="D648" s="574"/>
      <c r="E648" s="574"/>
      <c r="F648" s="574"/>
      <c r="G648" s="599"/>
      <c r="H648" s="601" t="s">
        <v>44</v>
      </c>
      <c r="I648" s="216">
        <v>0</v>
      </c>
      <c r="J648" s="216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5836.64)</f>
        <v>5836.64</v>
      </c>
      <c r="K648" s="63">
        <f t="shared" si="314"/>
        <v>0</v>
      </c>
      <c r="L648" s="117"/>
      <c r="M648" s="117"/>
      <c r="N648" s="117"/>
      <c r="O648" s="117"/>
      <c r="P648" s="718"/>
      <c r="Q648" s="480"/>
      <c r="R648" s="480"/>
      <c r="S648" s="480"/>
      <c r="T648" s="480"/>
      <c r="U648" s="480"/>
      <c r="V648" s="480"/>
      <c r="W648" s="480"/>
      <c r="X648" s="480"/>
      <c r="Y648" s="480"/>
      <c r="Z648" s="480"/>
    </row>
    <row r="649" spans="1:26" ht="20.25" customHeight="1">
      <c r="A649" s="830"/>
      <c r="B649" s="504"/>
      <c r="C649" s="600"/>
      <c r="D649" s="574"/>
      <c r="E649" s="586" t="s">
        <v>276</v>
      </c>
      <c r="F649" s="574"/>
      <c r="G649" s="599"/>
      <c r="H649" s="601" t="s">
        <v>33</v>
      </c>
      <c r="I649" s="216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16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8620)</f>
        <v>8620</v>
      </c>
      <c r="K649" s="117">
        <f t="shared" ca="1" si="314"/>
        <v>66.307692307692307</v>
      </c>
      <c r="L649" s="117"/>
      <c r="M649" s="117"/>
      <c r="N649" s="117"/>
      <c r="O649" s="117"/>
      <c r="P649" s="718"/>
      <c r="Q649" s="480"/>
      <c r="R649" s="480"/>
      <c r="S649" s="480"/>
      <c r="T649" s="480"/>
      <c r="U649" s="480"/>
      <c r="V649" s="480"/>
      <c r="W649" s="480"/>
      <c r="X649" s="480"/>
      <c r="Y649" s="480"/>
      <c r="Z649" s="480"/>
    </row>
    <row r="650" spans="1:26" ht="20.25" customHeight="1">
      <c r="A650" s="830"/>
      <c r="B650" s="504"/>
      <c r="C650" s="600"/>
      <c r="D650" s="574"/>
      <c r="E650" s="574"/>
      <c r="F650" s="574"/>
      <c r="G650" s="599"/>
      <c r="H650" s="601" t="s">
        <v>44</v>
      </c>
      <c r="I650" s="216">
        <v>0</v>
      </c>
      <c r="J650" s="216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4937.92)</f>
        <v>4937.92</v>
      </c>
      <c r="K650" s="63">
        <f t="shared" si="314"/>
        <v>0</v>
      </c>
      <c r="L650" s="117"/>
      <c r="M650" s="117"/>
      <c r="N650" s="117"/>
      <c r="O650" s="117"/>
      <c r="P650" s="718"/>
      <c r="Q650" s="480"/>
      <c r="R650" s="480"/>
      <c r="S650" s="480"/>
      <c r="T650" s="480"/>
      <c r="U650" s="480"/>
      <c r="V650" s="480"/>
      <c r="W650" s="480"/>
      <c r="X650" s="480"/>
      <c r="Y650" s="480"/>
      <c r="Z650" s="480"/>
    </row>
    <row r="651" spans="1:26" ht="20.25" customHeight="1">
      <c r="A651" s="830"/>
      <c r="B651" s="504"/>
      <c r="C651" s="600"/>
      <c r="D651" s="574"/>
      <c r="E651" s="586" t="s">
        <v>277</v>
      </c>
      <c r="F651" s="574"/>
      <c r="G651" s="599"/>
      <c r="H651" s="601" t="s">
        <v>33</v>
      </c>
      <c r="I651" s="216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16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5887)</f>
        <v>5887</v>
      </c>
      <c r="K651" s="117">
        <f t="shared" ca="1" si="314"/>
        <v>45.284615384615385</v>
      </c>
      <c r="L651" s="117"/>
      <c r="M651" s="117"/>
      <c r="N651" s="117"/>
      <c r="O651" s="117"/>
      <c r="P651" s="718"/>
      <c r="Q651" s="480"/>
      <c r="R651" s="480"/>
      <c r="S651" s="480"/>
      <c r="T651" s="480"/>
      <c r="U651" s="480"/>
      <c r="V651" s="480"/>
      <c r="W651" s="480"/>
      <c r="X651" s="480"/>
      <c r="Y651" s="480"/>
      <c r="Z651" s="480"/>
    </row>
    <row r="652" spans="1:26" ht="20.25" customHeight="1">
      <c r="A652" s="831"/>
      <c r="B652" s="587"/>
      <c r="C652" s="588"/>
      <c r="D652" s="576"/>
      <c r="E652" s="576"/>
      <c r="F652" s="576"/>
      <c r="G652" s="577"/>
      <c r="H652" s="589" t="s">
        <v>44</v>
      </c>
      <c r="I652" s="284">
        <v>0</v>
      </c>
      <c r="J652" s="284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3440.6975)</f>
        <v>3440.6975000000002</v>
      </c>
      <c r="K652" s="30">
        <f t="shared" si="314"/>
        <v>0</v>
      </c>
      <c r="L652" s="285"/>
      <c r="M652" s="285"/>
      <c r="N652" s="285"/>
      <c r="O652" s="285"/>
      <c r="P652" s="749"/>
      <c r="Q652" s="480"/>
      <c r="R652" s="480"/>
      <c r="S652" s="480"/>
      <c r="T652" s="480"/>
      <c r="U652" s="480"/>
      <c r="V652" s="480"/>
      <c r="W652" s="480"/>
      <c r="X652" s="480"/>
      <c r="Y652" s="480"/>
      <c r="Z652" s="480"/>
    </row>
    <row r="653" spans="1:26" ht="20.25" customHeight="1">
      <c r="A653" s="832">
        <v>8</v>
      </c>
      <c r="B653" s="580" t="s">
        <v>278</v>
      </c>
      <c r="C653" s="581"/>
      <c r="D653" s="581"/>
      <c r="E653" s="581"/>
      <c r="F653" s="581"/>
      <c r="G653" s="582"/>
      <c r="H653" s="582"/>
      <c r="I653" s="590"/>
      <c r="J653" s="590"/>
      <c r="K653" s="585"/>
      <c r="L653" s="585"/>
      <c r="M653" s="585"/>
      <c r="N653" s="585"/>
      <c r="O653" s="585"/>
      <c r="P653" s="829"/>
      <c r="Q653" s="480"/>
      <c r="R653" s="480"/>
      <c r="S653" s="480"/>
      <c r="T653" s="480"/>
      <c r="U653" s="480"/>
      <c r="V653" s="480"/>
      <c r="W653" s="480"/>
      <c r="X653" s="480"/>
      <c r="Y653" s="480"/>
      <c r="Z653" s="480"/>
    </row>
    <row r="654" spans="1:26" ht="20.25" customHeight="1">
      <c r="A654" s="833"/>
      <c r="B654" s="539" t="s">
        <v>279</v>
      </c>
      <c r="C654" s="540"/>
      <c r="D654" s="540"/>
      <c r="E654" s="540"/>
      <c r="F654" s="540"/>
      <c r="G654" s="541"/>
      <c r="H654" s="564" t="s">
        <v>44</v>
      </c>
      <c r="I654" s="565">
        <f t="shared" ref="I654:J654" ca="1" si="315">I669</f>
        <v>3955</v>
      </c>
      <c r="J654" s="565">
        <f t="shared" ca="1" si="315"/>
        <v>306</v>
      </c>
      <c r="K654" s="543">
        <f ca="1">IF(I654&gt;0,J654*100/I654,0)</f>
        <v>7.7370417193426047</v>
      </c>
      <c r="L654" s="544"/>
      <c r="M654" s="544"/>
      <c r="N654" s="544"/>
      <c r="O654" s="544"/>
      <c r="P654" s="818"/>
      <c r="Q654" s="480"/>
      <c r="R654" s="480"/>
      <c r="S654" s="480"/>
      <c r="T654" s="480"/>
      <c r="U654" s="480"/>
      <c r="V654" s="480"/>
      <c r="W654" s="480"/>
      <c r="X654" s="480"/>
      <c r="Y654" s="480"/>
      <c r="Z654" s="480"/>
    </row>
    <row r="655" spans="1:26" ht="20.25" customHeight="1">
      <c r="A655" s="808"/>
      <c r="B655" s="600"/>
      <c r="C655" s="860" t="s">
        <v>14</v>
      </c>
      <c r="D655" s="861" t="s">
        <v>15</v>
      </c>
      <c r="E655" s="862"/>
      <c r="F655" s="862"/>
      <c r="G655" s="479"/>
      <c r="H655" s="114" t="s">
        <v>12</v>
      </c>
      <c r="I655" s="216"/>
      <c r="J655" s="216"/>
      <c r="K655" s="63"/>
      <c r="L655" s="23">
        <f t="shared" ref="L655:N655" ca="1" si="316">L656+L657</f>
        <v>880600</v>
      </c>
      <c r="M655" s="23">
        <f t="shared" ca="1" si="316"/>
        <v>880600</v>
      </c>
      <c r="N655" s="23">
        <f t="shared" ca="1" si="316"/>
        <v>295699.59999999998</v>
      </c>
      <c r="O655" s="23">
        <f t="shared" ref="O655:O660" ca="1" si="317">IF(L655&gt;0,N655*100/L655,0)</f>
        <v>33.579332273449914</v>
      </c>
      <c r="P655" s="682">
        <f t="shared" ref="P655:P660" ca="1" si="318">IF(M655&gt;0,N655*100/M655,0)</f>
        <v>33.579332273449914</v>
      </c>
      <c r="Q655" s="480"/>
      <c r="R655" s="480"/>
      <c r="S655" s="480"/>
      <c r="T655" s="480"/>
      <c r="U655" s="480"/>
      <c r="V655" s="480"/>
      <c r="W655" s="480"/>
      <c r="X655" s="480"/>
      <c r="Y655" s="480"/>
      <c r="Z655" s="480"/>
    </row>
    <row r="656" spans="1:26" ht="20.25" customHeight="1">
      <c r="A656" s="808"/>
      <c r="B656" s="600"/>
      <c r="C656" s="600"/>
      <c r="D656" s="574"/>
      <c r="E656" s="600" t="s">
        <v>183</v>
      </c>
      <c r="F656" s="600"/>
      <c r="G656" s="479"/>
      <c r="H656" s="623" t="s">
        <v>12</v>
      </c>
      <c r="I656" s="216"/>
      <c r="J656" s="216"/>
      <c r="K656" s="63"/>
      <c r="L656" s="63">
        <f t="shared" ref="L656:N656" ca="1" si="319">L659+L666</f>
        <v>320100</v>
      </c>
      <c r="M656" s="63">
        <f t="shared" ca="1" si="319"/>
        <v>320100</v>
      </c>
      <c r="N656" s="63">
        <f t="shared" ca="1" si="319"/>
        <v>0</v>
      </c>
      <c r="O656" s="63">
        <f t="shared" ca="1" si="317"/>
        <v>0</v>
      </c>
      <c r="P656" s="684">
        <f t="shared" ca="1" si="318"/>
        <v>0</v>
      </c>
      <c r="Q656" s="480"/>
      <c r="R656" s="480"/>
      <c r="S656" s="480"/>
      <c r="T656" s="480"/>
      <c r="U656" s="480"/>
      <c r="V656" s="480"/>
      <c r="W656" s="480"/>
      <c r="X656" s="480"/>
      <c r="Y656" s="480"/>
      <c r="Z656" s="480"/>
    </row>
    <row r="657" spans="1:26" ht="20.25" customHeight="1">
      <c r="A657" s="808"/>
      <c r="B657" s="504"/>
      <c r="C657" s="600"/>
      <c r="D657" s="574"/>
      <c r="E657" s="600" t="s">
        <v>184</v>
      </c>
      <c r="F657" s="600"/>
      <c r="G657" s="479"/>
      <c r="H657" s="623" t="s">
        <v>12</v>
      </c>
      <c r="I657" s="216"/>
      <c r="J657" s="216"/>
      <c r="K657" s="63"/>
      <c r="L657" s="63">
        <f t="shared" ref="L657:N657" ca="1" si="320">L660+L667</f>
        <v>560500</v>
      </c>
      <c r="M657" s="63">
        <f t="shared" ca="1" si="320"/>
        <v>560500</v>
      </c>
      <c r="N657" s="63">
        <f t="shared" ca="1" si="320"/>
        <v>295699.59999999998</v>
      </c>
      <c r="O657" s="63">
        <f t="shared" ca="1" si="317"/>
        <v>52.756396074933086</v>
      </c>
      <c r="P657" s="684">
        <f t="shared" ca="1" si="318"/>
        <v>52.756396074933086</v>
      </c>
      <c r="Q657" s="480"/>
      <c r="R657" s="480"/>
      <c r="S657" s="480"/>
      <c r="T657" s="480"/>
      <c r="U657" s="480"/>
      <c r="V657" s="480"/>
      <c r="W657" s="480"/>
      <c r="X657" s="480"/>
      <c r="Y657" s="480"/>
      <c r="Z657" s="480"/>
    </row>
    <row r="658" spans="1:26" ht="20.25" customHeight="1">
      <c r="A658" s="809"/>
      <c r="B658" s="499"/>
      <c r="C658" s="500"/>
      <c r="D658" s="501" t="s">
        <v>18</v>
      </c>
      <c r="E658" s="500"/>
      <c r="F658" s="500"/>
      <c r="G658" s="502"/>
      <c r="H658" s="114" t="s">
        <v>12</v>
      </c>
      <c r="I658" s="115"/>
      <c r="J658" s="115"/>
      <c r="K658" s="116"/>
      <c r="L658" s="23">
        <f t="shared" ref="L658:N658" ca="1" si="321">L659+L660</f>
        <v>880600</v>
      </c>
      <c r="M658" s="23">
        <f t="shared" ca="1" si="321"/>
        <v>880600</v>
      </c>
      <c r="N658" s="23">
        <f t="shared" ca="1" si="321"/>
        <v>295699.59999999998</v>
      </c>
      <c r="O658" s="23">
        <f t="shared" ca="1" si="317"/>
        <v>33.579332273449914</v>
      </c>
      <c r="P658" s="682">
        <f t="shared" ca="1" si="318"/>
        <v>33.579332273449914</v>
      </c>
      <c r="Q658" s="503"/>
      <c r="R658" s="503"/>
      <c r="S658" s="503"/>
      <c r="T658" s="503"/>
      <c r="U658" s="503"/>
      <c r="V658" s="503"/>
      <c r="W658" s="503"/>
      <c r="X658" s="503"/>
      <c r="Y658" s="503"/>
      <c r="Z658" s="503"/>
    </row>
    <row r="659" spans="1:26" ht="20.25" customHeight="1">
      <c r="A659" s="808"/>
      <c r="B659" s="504"/>
      <c r="C659" s="600"/>
      <c r="D659" s="574"/>
      <c r="E659" s="600" t="s">
        <v>183</v>
      </c>
      <c r="F659" s="600"/>
      <c r="G659" s="479"/>
      <c r="H659" s="623" t="s">
        <v>12</v>
      </c>
      <c r="I659" s="216"/>
      <c r="J659" s="216"/>
      <c r="K659" s="63"/>
      <c r="L659" s="63">
        <f ca="1">IFERROR(__xludf.DUMMYFUNCTION("IMPORTRANGE(""https://docs.google.com/spreadsheets/d/1QqKyyYR6Q21VydFLVH3TRQUabQu_ym0Zz7PgGX0-kHA/edit?usp=sharing"",""แผน!HV11"")"),320100)</f>
        <v>320100</v>
      </c>
      <c r="M659" s="63">
        <f ca="1">L659</f>
        <v>320100</v>
      </c>
      <c r="N659" s="63">
        <f ca="1">IFERROR(__xludf.DUMMYFUNCTION("IMPORTRANGE(""https://docs.google.com/spreadsheets/d/1WhzDrMlrZfqSjGYJh0xYjRtGVhp5LiCqlO7EaAHfOOk/edit?usp=sharing"",""sheet1!BF6"")"),0)</f>
        <v>0</v>
      </c>
      <c r="O659" s="63">
        <f t="shared" ca="1" si="317"/>
        <v>0</v>
      </c>
      <c r="P659" s="684">
        <f t="shared" ca="1" si="318"/>
        <v>0</v>
      </c>
      <c r="Q659" s="480"/>
      <c r="R659" s="480"/>
      <c r="S659" s="480"/>
      <c r="T659" s="480"/>
      <c r="U659" s="480"/>
      <c r="V659" s="480"/>
      <c r="W659" s="480"/>
      <c r="X659" s="480"/>
      <c r="Y659" s="480"/>
      <c r="Z659" s="480"/>
    </row>
    <row r="660" spans="1:26" ht="20.25" customHeight="1">
      <c r="A660" s="808"/>
      <c r="B660" s="504"/>
      <c r="C660" s="600"/>
      <c r="D660" s="574"/>
      <c r="E660" s="600" t="s">
        <v>184</v>
      </c>
      <c r="F660" s="600"/>
      <c r="G660" s="479"/>
      <c r="H660" s="623" t="s">
        <v>12</v>
      </c>
      <c r="I660" s="216"/>
      <c r="J660" s="216"/>
      <c r="K660" s="63"/>
      <c r="L660" s="63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63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63">
        <f ca="1">N661+N662+N663+N664</f>
        <v>295699.59999999998</v>
      </c>
      <c r="O660" s="63">
        <f t="shared" ca="1" si="317"/>
        <v>52.756396074933086</v>
      </c>
      <c r="P660" s="684">
        <f t="shared" ca="1" si="318"/>
        <v>52.756396074933086</v>
      </c>
      <c r="Q660" s="480"/>
      <c r="R660" s="480"/>
      <c r="S660" s="480"/>
      <c r="T660" s="480"/>
      <c r="U660" s="480"/>
      <c r="V660" s="480"/>
      <c r="W660" s="480"/>
      <c r="X660" s="480"/>
      <c r="Y660" s="480"/>
      <c r="Z660" s="480"/>
    </row>
    <row r="661" spans="1:26" ht="20.25" customHeight="1">
      <c r="A661" s="801"/>
      <c r="B661" s="504"/>
      <c r="C661" s="600"/>
      <c r="D661" s="600"/>
      <c r="E661" s="600"/>
      <c r="F661" s="600" t="s">
        <v>185</v>
      </c>
      <c r="G661" s="479"/>
      <c r="H661" s="623" t="s">
        <v>12</v>
      </c>
      <c r="I661" s="216"/>
      <c r="J661" s="216"/>
      <c r="K661" s="63"/>
      <c r="L661" s="63"/>
      <c r="M661" s="63"/>
      <c r="N661" s="227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63"/>
      <c r="P661" s="684"/>
      <c r="Q661" s="480"/>
      <c r="R661" s="480"/>
      <c r="S661" s="480"/>
      <c r="T661" s="480"/>
      <c r="U661" s="480"/>
      <c r="V661" s="480"/>
      <c r="W661" s="480"/>
      <c r="X661" s="480"/>
      <c r="Y661" s="480"/>
      <c r="Z661" s="480"/>
    </row>
    <row r="662" spans="1:26" ht="20.25" customHeight="1">
      <c r="A662" s="801"/>
      <c r="B662" s="504"/>
      <c r="C662" s="600"/>
      <c r="D662" s="600"/>
      <c r="E662" s="600"/>
      <c r="F662" s="600" t="s">
        <v>186</v>
      </c>
      <c r="G662" s="479"/>
      <c r="H662" s="623" t="s">
        <v>12</v>
      </c>
      <c r="I662" s="216"/>
      <c r="J662" s="216"/>
      <c r="K662" s="63"/>
      <c r="L662" s="63"/>
      <c r="M662" s="63"/>
      <c r="N662" s="227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63"/>
      <c r="P662" s="684"/>
      <c r="Q662" s="480"/>
      <c r="R662" s="480"/>
      <c r="S662" s="480"/>
      <c r="T662" s="480"/>
      <c r="U662" s="480"/>
      <c r="V662" s="480"/>
      <c r="W662" s="480"/>
      <c r="X662" s="480"/>
      <c r="Y662" s="480"/>
      <c r="Z662" s="480"/>
    </row>
    <row r="663" spans="1:26" ht="20.25" customHeight="1">
      <c r="A663" s="801"/>
      <c r="B663" s="504"/>
      <c r="C663" s="504"/>
      <c r="D663" s="600"/>
      <c r="E663" s="600"/>
      <c r="F663" s="600" t="s">
        <v>187</v>
      </c>
      <c r="G663" s="479"/>
      <c r="H663" s="623" t="s">
        <v>12</v>
      </c>
      <c r="I663" s="216"/>
      <c r="J663" s="216"/>
      <c r="K663" s="63"/>
      <c r="L663" s="63"/>
      <c r="M663" s="63"/>
      <c r="N663" s="227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3500)</f>
        <v>3500</v>
      </c>
      <c r="O663" s="63"/>
      <c r="P663" s="684"/>
      <c r="Q663" s="480"/>
      <c r="R663" s="480"/>
      <c r="S663" s="480"/>
      <c r="T663" s="480"/>
      <c r="U663" s="480"/>
      <c r="V663" s="480"/>
      <c r="W663" s="480"/>
      <c r="X663" s="480"/>
      <c r="Y663" s="480"/>
      <c r="Z663" s="480"/>
    </row>
    <row r="664" spans="1:26" ht="20.25" customHeight="1">
      <c r="A664" s="801"/>
      <c r="B664" s="504"/>
      <c r="C664" s="504"/>
      <c r="D664" s="504"/>
      <c r="E664" s="600"/>
      <c r="F664" s="600" t="s">
        <v>188</v>
      </c>
      <c r="G664" s="479"/>
      <c r="H664" s="623" t="s">
        <v>12</v>
      </c>
      <c r="I664" s="216"/>
      <c r="J664" s="216"/>
      <c r="K664" s="63"/>
      <c r="L664" s="63"/>
      <c r="M664" s="63"/>
      <c r="N664" s="227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292199.6)</f>
        <v>292199.59999999998</v>
      </c>
      <c r="O664" s="63"/>
      <c r="P664" s="684"/>
      <c r="Q664" s="480"/>
      <c r="R664" s="480"/>
      <c r="S664" s="480"/>
      <c r="T664" s="480"/>
      <c r="U664" s="480"/>
      <c r="V664" s="480"/>
      <c r="W664" s="480"/>
      <c r="X664" s="480"/>
      <c r="Y664" s="480"/>
      <c r="Z664" s="480"/>
    </row>
    <row r="665" spans="1:26" ht="20.25" customHeight="1">
      <c r="A665" s="809"/>
      <c r="B665" s="499"/>
      <c r="C665" s="499"/>
      <c r="D665" s="501" t="s">
        <v>19</v>
      </c>
      <c r="E665" s="500"/>
      <c r="F665" s="500"/>
      <c r="G665" s="502"/>
      <c r="H665" s="118" t="s">
        <v>12</v>
      </c>
      <c r="I665" s="115"/>
      <c r="J665" s="115"/>
      <c r="K665" s="116"/>
      <c r="L665" s="23">
        <f t="shared" ref="L665:N665" si="322">L666+L667</f>
        <v>0</v>
      </c>
      <c r="M665" s="23">
        <f t="shared" si="322"/>
        <v>0</v>
      </c>
      <c r="N665" s="23">
        <f t="shared" ca="1" si="322"/>
        <v>0</v>
      </c>
      <c r="O665" s="23">
        <f t="shared" ref="O665:O667" si="323">IF(L665&gt;0,N665*100/L665,0)</f>
        <v>0</v>
      </c>
      <c r="P665" s="682">
        <f t="shared" ref="P665:P667" si="324">IF(M665&gt;0,N665*100/M665,0)</f>
        <v>0</v>
      </c>
      <c r="Q665" s="503"/>
      <c r="R665" s="503"/>
      <c r="S665" s="503"/>
      <c r="T665" s="503"/>
      <c r="U665" s="503"/>
      <c r="V665" s="503"/>
      <c r="W665" s="503"/>
      <c r="X665" s="503"/>
      <c r="Y665" s="503"/>
      <c r="Z665" s="503"/>
    </row>
    <row r="666" spans="1:26" ht="20.25" customHeight="1">
      <c r="A666" s="808"/>
      <c r="B666" s="504"/>
      <c r="C666" s="504"/>
      <c r="D666" s="504"/>
      <c r="E666" s="600" t="s">
        <v>16</v>
      </c>
      <c r="F666" s="600"/>
      <c r="G666" s="479"/>
      <c r="H666" s="623" t="s">
        <v>12</v>
      </c>
      <c r="I666" s="128"/>
      <c r="J666" s="128"/>
      <c r="K666" s="117"/>
      <c r="L666" s="63">
        <v>0</v>
      </c>
      <c r="M666" s="63">
        <v>0</v>
      </c>
      <c r="N666" s="63">
        <f ca="1">IFERROR(__xludf.DUMMYFUNCTION("IMPORTRANGE(""https://docs.google.com/spreadsheets/d/1WhzDrMlrZfqSjGYJh0xYjRtGVhp5LiCqlO7EaAHfOOk/edit?usp=sharing"",""sheet1!BH6"")"),0)</f>
        <v>0</v>
      </c>
      <c r="O666" s="63">
        <f t="shared" si="323"/>
        <v>0</v>
      </c>
      <c r="P666" s="684">
        <f t="shared" si="324"/>
        <v>0</v>
      </c>
      <c r="Q666" s="480"/>
      <c r="R666" s="480"/>
      <c r="S666" s="480"/>
      <c r="T666" s="480"/>
      <c r="U666" s="480"/>
      <c r="V666" s="480"/>
      <c r="W666" s="480"/>
      <c r="X666" s="480"/>
      <c r="Y666" s="480"/>
      <c r="Z666" s="480"/>
    </row>
    <row r="667" spans="1:26" ht="20.25" customHeight="1">
      <c r="A667" s="808"/>
      <c r="B667" s="504"/>
      <c r="C667" s="504"/>
      <c r="D667" s="504"/>
      <c r="E667" s="600" t="s">
        <v>17</v>
      </c>
      <c r="F667" s="600"/>
      <c r="G667" s="479"/>
      <c r="H667" s="119" t="s">
        <v>12</v>
      </c>
      <c r="I667" s="128"/>
      <c r="J667" s="128"/>
      <c r="K667" s="117"/>
      <c r="L667" s="63">
        <v>0</v>
      </c>
      <c r="M667" s="63">
        <v>0</v>
      </c>
      <c r="N667" s="63">
        <v>0</v>
      </c>
      <c r="O667" s="63">
        <f t="shared" si="323"/>
        <v>0</v>
      </c>
      <c r="P667" s="684">
        <f t="shared" si="324"/>
        <v>0</v>
      </c>
      <c r="Q667" s="480"/>
      <c r="R667" s="480"/>
      <c r="S667" s="480"/>
      <c r="T667" s="480"/>
      <c r="U667" s="480"/>
      <c r="V667" s="480"/>
      <c r="W667" s="480"/>
      <c r="X667" s="480"/>
      <c r="Y667" s="480"/>
      <c r="Z667" s="480"/>
    </row>
    <row r="668" spans="1:26" ht="20.25" customHeight="1">
      <c r="A668" s="810"/>
      <c r="B668" s="508"/>
      <c r="C668" s="860" t="s">
        <v>14</v>
      </c>
      <c r="D668" s="505" t="s">
        <v>36</v>
      </c>
      <c r="E668" s="598"/>
      <c r="F668" s="598"/>
      <c r="G668" s="507"/>
      <c r="H668" s="599"/>
      <c r="I668" s="128"/>
      <c r="J668" s="128"/>
      <c r="K668" s="117"/>
      <c r="L668" s="117"/>
      <c r="M668" s="117"/>
      <c r="N668" s="117"/>
      <c r="O668" s="117"/>
      <c r="P668" s="718"/>
      <c r="Q668" s="480"/>
      <c r="R668" s="480"/>
      <c r="S668" s="480"/>
      <c r="T668" s="480"/>
      <c r="U668" s="480"/>
      <c r="V668" s="480"/>
      <c r="W668" s="480"/>
      <c r="X668" s="480"/>
      <c r="Y668" s="480"/>
      <c r="Z668" s="480"/>
    </row>
    <row r="669" spans="1:26" ht="20.25" customHeight="1">
      <c r="A669" s="810"/>
      <c r="B669" s="508"/>
      <c r="C669" s="508"/>
      <c r="D669" s="508" t="s">
        <v>280</v>
      </c>
      <c r="E669" s="574"/>
      <c r="F669" s="574"/>
      <c r="G669" s="599"/>
      <c r="H669" s="604" t="s">
        <v>44</v>
      </c>
      <c r="I669" s="526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526">
        <f ca="1">J675</f>
        <v>306</v>
      </c>
      <c r="K669" s="23">
        <f ca="1">IF(I669&gt;0,J669*100/I669,0)</f>
        <v>7.7370417193426047</v>
      </c>
      <c r="L669" s="117"/>
      <c r="M669" s="117"/>
      <c r="N669" s="117"/>
      <c r="O669" s="117"/>
      <c r="P669" s="718"/>
      <c r="Q669" s="480"/>
      <c r="R669" s="480"/>
      <c r="S669" s="480"/>
      <c r="T669" s="480"/>
      <c r="U669" s="480"/>
      <c r="V669" s="480"/>
      <c r="W669" s="480"/>
      <c r="X669" s="480"/>
      <c r="Y669" s="480"/>
      <c r="Z669" s="480"/>
    </row>
    <row r="670" spans="1:26" ht="20.25" customHeight="1">
      <c r="A670" s="810"/>
      <c r="B670" s="508"/>
      <c r="C670" s="508"/>
      <c r="D670" s="508"/>
      <c r="E670" s="574" t="s">
        <v>281</v>
      </c>
      <c r="F670" s="574"/>
      <c r="G670" s="599"/>
      <c r="H670" s="601" t="s">
        <v>64</v>
      </c>
      <c r="I670" s="216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4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208)</f>
        <v>208</v>
      </c>
      <c r="K670" s="63">
        <f ca="1">IF(I670&gt;0,(J670*100)/I670,0)</f>
        <v>102.97029702970298</v>
      </c>
      <c r="L670" s="117"/>
      <c r="M670" s="117"/>
      <c r="N670" s="117"/>
      <c r="O670" s="117"/>
      <c r="P670" s="718"/>
      <c r="Q670" s="480"/>
      <c r="R670" s="480"/>
      <c r="S670" s="480"/>
      <c r="T670" s="480"/>
      <c r="U670" s="480"/>
      <c r="V670" s="480"/>
      <c r="W670" s="480"/>
      <c r="X670" s="480"/>
      <c r="Y670" s="480"/>
      <c r="Z670" s="480"/>
    </row>
    <row r="671" spans="1:26" ht="20.25" customHeight="1">
      <c r="A671" s="810"/>
      <c r="B671" s="508"/>
      <c r="C671" s="508"/>
      <c r="D671" s="508"/>
      <c r="E671" s="574" t="s">
        <v>282</v>
      </c>
      <c r="F671" s="574"/>
      <c r="G671" s="599"/>
      <c r="H671" s="601" t="s">
        <v>64</v>
      </c>
      <c r="I671" s="216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4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208)</f>
        <v>208</v>
      </c>
      <c r="K671" s="63">
        <f ca="1">IF(I$671&gt;0,J671*100/I$671,0)</f>
        <v>102.97029702970298</v>
      </c>
      <c r="L671" s="117"/>
      <c r="M671" s="117"/>
      <c r="N671" s="117"/>
      <c r="O671" s="117"/>
      <c r="P671" s="718"/>
      <c r="Q671" s="480"/>
      <c r="R671" s="480"/>
      <c r="S671" s="480"/>
      <c r="T671" s="480"/>
      <c r="U671" s="480"/>
      <c r="V671" s="480"/>
      <c r="W671" s="480"/>
      <c r="X671" s="480"/>
      <c r="Y671" s="480"/>
      <c r="Z671" s="480"/>
    </row>
    <row r="672" spans="1:26" ht="20.25" customHeight="1">
      <c r="A672" s="810"/>
      <c r="B672" s="508"/>
      <c r="C672" s="508"/>
      <c r="D672" s="508"/>
      <c r="E672" s="574" t="s">
        <v>283</v>
      </c>
      <c r="F672" s="574"/>
      <c r="G672" s="599"/>
      <c r="H672" s="601" t="s">
        <v>44</v>
      </c>
      <c r="I672" s="216"/>
      <c r="J672" s="174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7663.92999999999)</f>
        <v>7663.9299999999903</v>
      </c>
      <c r="K672" s="63">
        <f t="shared" ref="K672:K675" ca="1" si="325">IF(I$669&gt;0,J672*100/I$669,0)</f>
        <v>193.77825537294541</v>
      </c>
      <c r="L672" s="117"/>
      <c r="M672" s="117"/>
      <c r="N672" s="117"/>
      <c r="O672" s="117"/>
      <c r="P672" s="718"/>
      <c r="Q672" s="480"/>
      <c r="R672" s="480"/>
      <c r="S672" s="480"/>
      <c r="T672" s="480"/>
      <c r="U672" s="480"/>
      <c r="V672" s="480"/>
      <c r="W672" s="480"/>
      <c r="X672" s="480"/>
      <c r="Y672" s="480"/>
      <c r="Z672" s="480"/>
    </row>
    <row r="673" spans="1:26" ht="20.25" customHeight="1">
      <c r="A673" s="810"/>
      <c r="B673" s="508"/>
      <c r="C673" s="508"/>
      <c r="D673" s="508"/>
      <c r="E673" s="574" t="s">
        <v>284</v>
      </c>
      <c r="F673" s="574"/>
      <c r="G673" s="599"/>
      <c r="H673" s="601" t="s">
        <v>44</v>
      </c>
      <c r="I673" s="216"/>
      <c r="J673" s="174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4970.23)</f>
        <v>4970.2299999999996</v>
      </c>
      <c r="K673" s="63">
        <f t="shared" ca="1" si="325"/>
        <v>125.66953223767382</v>
      </c>
      <c r="L673" s="117"/>
      <c r="M673" s="117"/>
      <c r="N673" s="117"/>
      <c r="O673" s="117"/>
      <c r="P673" s="718"/>
      <c r="Q673" s="480"/>
      <c r="R673" s="480"/>
      <c r="S673" s="480"/>
      <c r="T673" s="480"/>
      <c r="U673" s="480"/>
      <c r="V673" s="480"/>
      <c r="W673" s="480"/>
      <c r="X673" s="480"/>
      <c r="Y673" s="480"/>
      <c r="Z673" s="480"/>
    </row>
    <row r="674" spans="1:26" ht="20.25" customHeight="1">
      <c r="A674" s="810"/>
      <c r="B674" s="508"/>
      <c r="C674" s="508"/>
      <c r="D674" s="508"/>
      <c r="E674" s="574" t="s">
        <v>285</v>
      </c>
      <c r="F674" s="574"/>
      <c r="G674" s="599"/>
      <c r="H674" s="601" t="s">
        <v>44</v>
      </c>
      <c r="I674" s="216"/>
      <c r="J674" s="174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1129)</f>
        <v>1129</v>
      </c>
      <c r="K674" s="63">
        <f t="shared" ca="1" si="325"/>
        <v>28.546144121365359</v>
      </c>
      <c r="L674" s="117"/>
      <c r="M674" s="117"/>
      <c r="N674" s="117"/>
      <c r="O674" s="117"/>
      <c r="P674" s="718"/>
      <c r="Q674" s="480"/>
      <c r="R674" s="480"/>
      <c r="S674" s="480"/>
      <c r="T674" s="480"/>
      <c r="U674" s="480"/>
      <c r="V674" s="480"/>
      <c r="W674" s="480"/>
      <c r="X674" s="480"/>
      <c r="Y674" s="480"/>
      <c r="Z674" s="480"/>
    </row>
    <row r="675" spans="1:26" ht="20.25" customHeight="1">
      <c r="A675" s="810"/>
      <c r="B675" s="508"/>
      <c r="C675" s="508"/>
      <c r="D675" s="508"/>
      <c r="E675" s="574" t="s">
        <v>286</v>
      </c>
      <c r="F675" s="574"/>
      <c r="G675" s="599"/>
      <c r="H675" s="601" t="s">
        <v>44</v>
      </c>
      <c r="I675" s="216"/>
      <c r="J675" s="526">
        <f ca="1">J676+J677</f>
        <v>306</v>
      </c>
      <c r="K675" s="23">
        <f t="shared" ca="1" si="325"/>
        <v>7.7370417193426047</v>
      </c>
      <c r="L675" s="117"/>
      <c r="M675" s="117"/>
      <c r="N675" s="117"/>
      <c r="O675" s="117"/>
      <c r="P675" s="718"/>
      <c r="Q675" s="480"/>
      <c r="R675" s="480"/>
      <c r="S675" s="480"/>
      <c r="T675" s="480"/>
      <c r="U675" s="480"/>
      <c r="V675" s="480"/>
      <c r="W675" s="480"/>
      <c r="X675" s="480"/>
      <c r="Y675" s="480"/>
      <c r="Z675" s="480"/>
    </row>
    <row r="676" spans="1:26" ht="20.25" customHeight="1">
      <c r="A676" s="810"/>
      <c r="B676" s="508"/>
      <c r="C676" s="508"/>
      <c r="D676" s="508"/>
      <c r="E676" s="574"/>
      <c r="F676" s="574" t="s">
        <v>287</v>
      </c>
      <c r="G676" s="599"/>
      <c r="H676" s="601" t="s">
        <v>44</v>
      </c>
      <c r="I676" s="216"/>
      <c r="J676" s="174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63)</f>
        <v>63</v>
      </c>
      <c r="K676" s="63"/>
      <c r="L676" s="117"/>
      <c r="M676" s="117"/>
      <c r="N676" s="117"/>
      <c r="O676" s="117"/>
      <c r="P676" s="718"/>
      <c r="Q676" s="480"/>
      <c r="R676" s="480"/>
      <c r="S676" s="480"/>
      <c r="T676" s="480"/>
      <c r="U676" s="480"/>
      <c r="V676" s="480"/>
      <c r="W676" s="480"/>
      <c r="X676" s="480"/>
      <c r="Y676" s="480"/>
      <c r="Z676" s="480"/>
    </row>
    <row r="677" spans="1:26" ht="20.25" customHeight="1">
      <c r="A677" s="810"/>
      <c r="B677" s="508"/>
      <c r="C677" s="508"/>
      <c r="D677" s="508"/>
      <c r="E677" s="574"/>
      <c r="F677" s="574" t="s">
        <v>288</v>
      </c>
      <c r="G677" s="599"/>
      <c r="H677" s="601" t="s">
        <v>44</v>
      </c>
      <c r="I677" s="216"/>
      <c r="J677" s="174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243)</f>
        <v>243</v>
      </c>
      <c r="K677" s="63"/>
      <c r="L677" s="117"/>
      <c r="M677" s="117"/>
      <c r="N677" s="117"/>
      <c r="O677" s="117"/>
      <c r="P677" s="718"/>
      <c r="Q677" s="480"/>
      <c r="R677" s="480"/>
      <c r="S677" s="480"/>
      <c r="T677" s="480"/>
      <c r="U677" s="480"/>
      <c r="V677" s="480"/>
      <c r="W677" s="480"/>
      <c r="X677" s="480"/>
      <c r="Y677" s="480"/>
      <c r="Z677" s="480"/>
    </row>
    <row r="678" spans="1:26" ht="20.25" customHeight="1">
      <c r="A678" s="810"/>
      <c r="B678" s="508"/>
      <c r="C678" s="508"/>
      <c r="D678" s="508" t="s">
        <v>289</v>
      </c>
      <c r="E678" s="574"/>
      <c r="F678" s="574"/>
      <c r="G678" s="599"/>
      <c r="H678" s="601" t="s">
        <v>44</v>
      </c>
      <c r="I678" s="526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526">
        <f ca="1">J679</f>
        <v>426.76</v>
      </c>
      <c r="K678" s="23">
        <f ca="1">IF(I678&gt;0,J678*100/I678,0)</f>
        <v>0</v>
      </c>
      <c r="L678" s="117"/>
      <c r="M678" s="117"/>
      <c r="N678" s="117"/>
      <c r="O678" s="117"/>
      <c r="P678" s="718"/>
      <c r="Q678" s="480"/>
      <c r="R678" s="480"/>
      <c r="S678" s="480"/>
      <c r="T678" s="480"/>
      <c r="U678" s="480"/>
      <c r="V678" s="480"/>
      <c r="W678" s="480"/>
      <c r="X678" s="480"/>
      <c r="Y678" s="480"/>
      <c r="Z678" s="480"/>
    </row>
    <row r="679" spans="1:26" ht="20.25" customHeight="1">
      <c r="A679" s="810"/>
      <c r="B679" s="508"/>
      <c r="C679" s="508"/>
      <c r="D679" s="508"/>
      <c r="E679" s="574" t="s">
        <v>290</v>
      </c>
      <c r="F679" s="574"/>
      <c r="G679" s="599"/>
      <c r="H679" s="601" t="s">
        <v>44</v>
      </c>
      <c r="I679" s="216"/>
      <c r="J679" s="216">
        <f ca="1">J680+J681</f>
        <v>426.76</v>
      </c>
      <c r="K679" s="63"/>
      <c r="L679" s="117"/>
      <c r="M679" s="117"/>
      <c r="N679" s="117"/>
      <c r="O679" s="117"/>
      <c r="P679" s="718"/>
      <c r="Q679" s="480"/>
      <c r="R679" s="480"/>
      <c r="S679" s="480"/>
      <c r="T679" s="480"/>
      <c r="U679" s="480"/>
      <c r="V679" s="480"/>
      <c r="W679" s="480"/>
      <c r="X679" s="480"/>
      <c r="Y679" s="480"/>
      <c r="Z679" s="480"/>
    </row>
    <row r="680" spans="1:26" ht="20.25" customHeight="1">
      <c r="A680" s="810"/>
      <c r="B680" s="508"/>
      <c r="C680" s="508"/>
      <c r="D680" s="508"/>
      <c r="E680" s="574"/>
      <c r="F680" s="574" t="s">
        <v>287</v>
      </c>
      <c r="G680" s="599"/>
      <c r="H680" s="601" t="s">
        <v>44</v>
      </c>
      <c r="I680" s="216"/>
      <c r="J680" s="174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63"/>
      <c r="L680" s="117"/>
      <c r="M680" s="117"/>
      <c r="N680" s="117"/>
      <c r="O680" s="117"/>
      <c r="P680" s="718"/>
      <c r="Q680" s="480"/>
      <c r="R680" s="480"/>
      <c r="S680" s="480"/>
      <c r="T680" s="480"/>
      <c r="U680" s="480"/>
      <c r="V680" s="480"/>
      <c r="W680" s="480"/>
      <c r="X680" s="480"/>
      <c r="Y680" s="480"/>
      <c r="Z680" s="480"/>
    </row>
    <row r="681" spans="1:26" ht="20.25" customHeight="1">
      <c r="A681" s="810"/>
      <c r="B681" s="508"/>
      <c r="C681" s="508"/>
      <c r="D681" s="508"/>
      <c r="E681" s="574"/>
      <c r="F681" s="574" t="s">
        <v>288</v>
      </c>
      <c r="G681" s="599"/>
      <c r="H681" s="601" t="s">
        <v>44</v>
      </c>
      <c r="I681" s="216"/>
      <c r="J681" s="174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259.2)</f>
        <v>259.2</v>
      </c>
      <c r="K681" s="63"/>
      <c r="L681" s="117"/>
      <c r="M681" s="117"/>
      <c r="N681" s="117"/>
      <c r="O681" s="117"/>
      <c r="P681" s="718"/>
      <c r="Q681" s="480"/>
      <c r="R681" s="480"/>
      <c r="S681" s="480"/>
      <c r="T681" s="480"/>
      <c r="U681" s="480"/>
      <c r="V681" s="480"/>
      <c r="W681" s="480"/>
      <c r="X681" s="480"/>
      <c r="Y681" s="480"/>
      <c r="Z681" s="480"/>
    </row>
    <row r="682" spans="1:26" ht="20.25" customHeight="1">
      <c r="A682" s="810"/>
      <c r="B682" s="508"/>
      <c r="C682" s="508"/>
      <c r="D682" s="508"/>
      <c r="E682" s="574" t="s">
        <v>291</v>
      </c>
      <c r="F682" s="574"/>
      <c r="G682" s="599"/>
      <c r="H682" s="601" t="s">
        <v>44</v>
      </c>
      <c r="I682" s="216"/>
      <c r="J682" s="174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63"/>
      <c r="L682" s="117"/>
      <c r="M682" s="117"/>
      <c r="N682" s="117"/>
      <c r="O682" s="117"/>
      <c r="P682" s="718"/>
      <c r="Q682" s="480"/>
      <c r="R682" s="480"/>
      <c r="S682" s="480"/>
      <c r="T682" s="480"/>
      <c r="U682" s="480"/>
      <c r="V682" s="480"/>
      <c r="W682" s="480"/>
      <c r="X682" s="480"/>
      <c r="Y682" s="480"/>
      <c r="Z682" s="480"/>
    </row>
    <row r="683" spans="1:26" ht="20.25" customHeight="1">
      <c r="A683" s="810"/>
      <c r="B683" s="508"/>
      <c r="C683" s="508"/>
      <c r="D683" s="508"/>
      <c r="E683" s="574"/>
      <c r="F683" s="574" t="s">
        <v>292</v>
      </c>
      <c r="G683" s="599"/>
      <c r="H683" s="601" t="s">
        <v>44</v>
      </c>
      <c r="I683" s="216"/>
      <c r="J683" s="174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63"/>
      <c r="L683" s="117"/>
      <c r="M683" s="117"/>
      <c r="N683" s="117"/>
      <c r="O683" s="117"/>
      <c r="P683" s="718"/>
      <c r="Q683" s="480"/>
      <c r="R683" s="480"/>
      <c r="S683" s="480"/>
      <c r="T683" s="480"/>
      <c r="U683" s="480"/>
      <c r="V683" s="480"/>
      <c r="W683" s="480"/>
      <c r="X683" s="480"/>
      <c r="Y683" s="480"/>
      <c r="Z683" s="480"/>
    </row>
    <row r="684" spans="1:26" ht="20.25" customHeight="1">
      <c r="A684" s="834"/>
      <c r="B684" s="592" t="s">
        <v>293</v>
      </c>
      <c r="C684" s="591"/>
      <c r="D684" s="591"/>
      <c r="E684" s="591"/>
      <c r="F684" s="591"/>
      <c r="G684" s="593"/>
      <c r="H684" s="593"/>
      <c r="I684" s="594"/>
      <c r="J684" s="594"/>
      <c r="K684" s="595"/>
      <c r="L684" s="595"/>
      <c r="M684" s="595"/>
      <c r="N684" s="595"/>
      <c r="O684" s="595"/>
      <c r="P684" s="835"/>
      <c r="Q684" s="480"/>
      <c r="R684" s="480"/>
      <c r="S684" s="480"/>
      <c r="T684" s="480"/>
      <c r="U684" s="480"/>
      <c r="V684" s="480"/>
      <c r="W684" s="480"/>
      <c r="X684" s="480"/>
      <c r="Y684" s="480"/>
      <c r="Z684" s="480"/>
    </row>
    <row r="685" spans="1:26" ht="20.25" customHeight="1">
      <c r="A685" s="808"/>
      <c r="B685" s="600"/>
      <c r="C685" s="860" t="s">
        <v>14</v>
      </c>
      <c r="D685" s="861" t="s">
        <v>15</v>
      </c>
      <c r="E685" s="862"/>
      <c r="F685" s="862"/>
      <c r="G685" s="479"/>
      <c r="H685" s="114" t="s">
        <v>12</v>
      </c>
      <c r="I685" s="216"/>
      <c r="J685" s="216"/>
      <c r="K685" s="63"/>
      <c r="L685" s="23">
        <f t="shared" ref="L685:N685" ca="1" si="326">L686+L687</f>
        <v>1119400</v>
      </c>
      <c r="M685" s="23">
        <f t="shared" ca="1" si="326"/>
        <v>1119400</v>
      </c>
      <c r="N685" s="23">
        <f t="shared" ca="1" si="326"/>
        <v>325532.12</v>
      </c>
      <c r="O685" s="23">
        <f t="shared" ref="O685:O688" ca="1" si="327">IF(L685&gt;0,N685*100/L685,0)</f>
        <v>29.080946935858496</v>
      </c>
      <c r="P685" s="682">
        <f t="shared" ref="P685:P688" ca="1" si="328">IF(M685&gt;0,N685*100/M685,0)</f>
        <v>29.080946935858496</v>
      </c>
      <c r="Q685" s="480"/>
      <c r="R685" s="480"/>
      <c r="S685" s="480"/>
      <c r="T685" s="480"/>
      <c r="U685" s="480"/>
      <c r="V685" s="480"/>
      <c r="W685" s="480"/>
      <c r="X685" s="480"/>
      <c r="Y685" s="480"/>
      <c r="Z685" s="480"/>
    </row>
    <row r="686" spans="1:26" ht="20.25" customHeight="1">
      <c r="A686" s="808"/>
      <c r="B686" s="600"/>
      <c r="C686" s="600"/>
      <c r="D686" s="574"/>
      <c r="E686" s="600" t="s">
        <v>183</v>
      </c>
      <c r="F686" s="600"/>
      <c r="G686" s="479"/>
      <c r="H686" s="623" t="s">
        <v>12</v>
      </c>
      <c r="I686" s="216"/>
      <c r="J686" s="216"/>
      <c r="K686" s="63"/>
      <c r="L686" s="63">
        <f t="shared" ref="L686:N686" ca="1" si="329">L689+L696</f>
        <v>58950</v>
      </c>
      <c r="M686" s="63">
        <f t="shared" ca="1" si="329"/>
        <v>58950</v>
      </c>
      <c r="N686" s="63">
        <f t="shared" ca="1" si="329"/>
        <v>54230</v>
      </c>
      <c r="O686" s="63">
        <f t="shared" ca="1" si="327"/>
        <v>91.99321458863443</v>
      </c>
      <c r="P686" s="684">
        <f t="shared" ca="1" si="328"/>
        <v>91.99321458863443</v>
      </c>
      <c r="Q686" s="480"/>
      <c r="R686" s="480"/>
      <c r="S686" s="480"/>
      <c r="T686" s="480"/>
      <c r="U686" s="480"/>
      <c r="V686" s="480"/>
      <c r="W686" s="480"/>
      <c r="X686" s="480"/>
      <c r="Y686" s="480"/>
      <c r="Z686" s="480"/>
    </row>
    <row r="687" spans="1:26" ht="20.25" customHeight="1">
      <c r="A687" s="808"/>
      <c r="B687" s="504"/>
      <c r="C687" s="600"/>
      <c r="D687" s="574"/>
      <c r="E687" s="600" t="s">
        <v>184</v>
      </c>
      <c r="F687" s="600"/>
      <c r="G687" s="479"/>
      <c r="H687" s="623" t="s">
        <v>12</v>
      </c>
      <c r="I687" s="216"/>
      <c r="J687" s="216"/>
      <c r="K687" s="63"/>
      <c r="L687" s="63">
        <f t="shared" ref="L687:N687" ca="1" si="330">L690+L697</f>
        <v>1060450</v>
      </c>
      <c r="M687" s="63">
        <f t="shared" ca="1" si="330"/>
        <v>1060450</v>
      </c>
      <c r="N687" s="63">
        <f t="shared" ca="1" si="330"/>
        <v>271302.12</v>
      </c>
      <c r="O687" s="63">
        <f t="shared" ca="1" si="327"/>
        <v>25.583678626997973</v>
      </c>
      <c r="P687" s="684">
        <f t="shared" ca="1" si="328"/>
        <v>25.583678626997973</v>
      </c>
      <c r="Q687" s="480"/>
      <c r="R687" s="480"/>
      <c r="S687" s="480"/>
      <c r="T687" s="480"/>
      <c r="U687" s="480"/>
      <c r="V687" s="480"/>
      <c r="W687" s="480"/>
      <c r="X687" s="480"/>
      <c r="Y687" s="480"/>
      <c r="Z687" s="480"/>
    </row>
    <row r="688" spans="1:26" ht="20.25" customHeight="1">
      <c r="A688" s="809"/>
      <c r="B688" s="499"/>
      <c r="C688" s="500"/>
      <c r="D688" s="501" t="s">
        <v>18</v>
      </c>
      <c r="E688" s="500"/>
      <c r="F688" s="500"/>
      <c r="G688" s="502"/>
      <c r="H688" s="114" t="s">
        <v>12</v>
      </c>
      <c r="I688" s="115"/>
      <c r="J688" s="115"/>
      <c r="K688" s="116"/>
      <c r="L688" s="23">
        <f t="shared" ref="L688:N688" ca="1" si="331">L689+L690</f>
        <v>1119400</v>
      </c>
      <c r="M688" s="23">
        <f t="shared" ca="1" si="331"/>
        <v>1119400</v>
      </c>
      <c r="N688" s="23">
        <f t="shared" ca="1" si="331"/>
        <v>325532.12</v>
      </c>
      <c r="O688" s="23">
        <f t="shared" ca="1" si="327"/>
        <v>29.080946935858496</v>
      </c>
      <c r="P688" s="682">
        <f t="shared" ca="1" si="328"/>
        <v>29.080946935858496</v>
      </c>
      <c r="Q688" s="503"/>
      <c r="R688" s="503"/>
      <c r="S688" s="503"/>
      <c r="T688" s="503"/>
      <c r="U688" s="503"/>
      <c r="V688" s="503"/>
      <c r="W688" s="503"/>
      <c r="X688" s="503"/>
      <c r="Y688" s="503"/>
      <c r="Z688" s="503"/>
    </row>
    <row r="689" spans="1:26" ht="20.25" customHeight="1">
      <c r="A689" s="808"/>
      <c r="B689" s="504"/>
      <c r="C689" s="600"/>
      <c r="D689" s="574"/>
      <c r="E689" s="600" t="s">
        <v>183</v>
      </c>
      <c r="F689" s="600"/>
      <c r="G689" s="479"/>
      <c r="H689" s="623" t="s">
        <v>12</v>
      </c>
      <c r="I689" s="216"/>
      <c r="J689" s="216"/>
      <c r="K689" s="63"/>
      <c r="L689" s="63">
        <f ca="1">IFERROR(__xludf.DUMMYFUNCTION("IMPORTRANGE(""https://docs.google.com/spreadsheets/d/1QqKyyYR6Q21VydFLVH3TRQUabQu_ym0Zz7PgGX0-kHA/edit?usp=sharing"",""แผน!HW11"")"),58950)</f>
        <v>58950</v>
      </c>
      <c r="M689" s="63">
        <f ca="1">L689</f>
        <v>58950</v>
      </c>
      <c r="N689" s="63">
        <f ca="1">IFERROR(__xludf.DUMMYFUNCTION("IMPORTRANGE(""https://docs.google.com/spreadsheets/d/1WhzDrMlrZfqSjGYJh0xYjRtGVhp5LiCqlO7EaAHfOOk/edit?usp=sharing"",""sheet1!BM6"")"),54230)</f>
        <v>54230</v>
      </c>
      <c r="O689" s="63"/>
      <c r="P689" s="684"/>
      <c r="Q689" s="480"/>
      <c r="R689" s="480"/>
      <c r="S689" s="480"/>
      <c r="T689" s="480"/>
      <c r="U689" s="480"/>
      <c r="V689" s="480"/>
      <c r="W689" s="480"/>
      <c r="X689" s="480"/>
      <c r="Y689" s="480"/>
      <c r="Z689" s="480"/>
    </row>
    <row r="690" spans="1:26" ht="20.25" customHeight="1">
      <c r="A690" s="808"/>
      <c r="B690" s="504"/>
      <c r="C690" s="600"/>
      <c r="D690" s="574"/>
      <c r="E690" s="600" t="s">
        <v>184</v>
      </c>
      <c r="F690" s="600"/>
      <c r="G690" s="479"/>
      <c r="H690" s="623" t="s">
        <v>12</v>
      </c>
      <c r="I690" s="216"/>
      <c r="J690" s="216"/>
      <c r="K690" s="63"/>
      <c r="L690" s="63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63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63">
        <f ca="1">N691+N692+N693+N694</f>
        <v>271302.12</v>
      </c>
      <c r="O690" s="63">
        <f ca="1">IF(L690&gt;0,N690*100/L690,0)</f>
        <v>25.583678626997973</v>
      </c>
      <c r="P690" s="684">
        <f ca="1">IF(M690&gt;0,N690*100/M690,0)</f>
        <v>25.583678626997973</v>
      </c>
      <c r="Q690" s="480"/>
      <c r="R690" s="480"/>
      <c r="S690" s="480"/>
      <c r="T690" s="480"/>
      <c r="U690" s="480"/>
      <c r="V690" s="480"/>
      <c r="W690" s="480"/>
      <c r="X690" s="480"/>
      <c r="Y690" s="480"/>
      <c r="Z690" s="480"/>
    </row>
    <row r="691" spans="1:26" ht="20.25" customHeight="1">
      <c r="A691" s="801"/>
      <c r="B691" s="504"/>
      <c r="C691" s="600"/>
      <c r="D691" s="600"/>
      <c r="E691" s="600"/>
      <c r="F691" s="600" t="s">
        <v>185</v>
      </c>
      <c r="G691" s="479"/>
      <c r="H691" s="623" t="s">
        <v>12</v>
      </c>
      <c r="I691" s="216"/>
      <c r="J691" s="216"/>
      <c r="K691" s="63"/>
      <c r="L691" s="63"/>
      <c r="M691" s="63"/>
      <c r="N691" s="227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63"/>
      <c r="P691" s="684"/>
      <c r="Q691" s="480"/>
      <c r="R691" s="480"/>
      <c r="S691" s="480"/>
      <c r="T691" s="480"/>
      <c r="U691" s="480"/>
      <c r="V691" s="480"/>
      <c r="W691" s="480"/>
      <c r="X691" s="480"/>
      <c r="Y691" s="480"/>
      <c r="Z691" s="480"/>
    </row>
    <row r="692" spans="1:26" ht="20.25" customHeight="1">
      <c r="A692" s="801"/>
      <c r="B692" s="504"/>
      <c r="C692" s="600"/>
      <c r="D692" s="600"/>
      <c r="E692" s="600"/>
      <c r="F692" s="600" t="s">
        <v>186</v>
      </c>
      <c r="G692" s="479"/>
      <c r="H692" s="623" t="s">
        <v>12</v>
      </c>
      <c r="I692" s="216"/>
      <c r="J692" s="216"/>
      <c r="K692" s="63"/>
      <c r="L692" s="63"/>
      <c r="M692" s="63"/>
      <c r="N692" s="227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63"/>
      <c r="P692" s="684"/>
      <c r="Q692" s="480"/>
      <c r="R692" s="480"/>
      <c r="S692" s="480"/>
      <c r="T692" s="480"/>
      <c r="U692" s="480"/>
      <c r="V692" s="480"/>
      <c r="W692" s="480"/>
      <c r="X692" s="480"/>
      <c r="Y692" s="480"/>
      <c r="Z692" s="480"/>
    </row>
    <row r="693" spans="1:26" ht="20.25" customHeight="1">
      <c r="A693" s="801"/>
      <c r="B693" s="504"/>
      <c r="C693" s="600"/>
      <c r="D693" s="600"/>
      <c r="E693" s="600"/>
      <c r="F693" s="600" t="s">
        <v>187</v>
      </c>
      <c r="G693" s="479"/>
      <c r="H693" s="623" t="s">
        <v>12</v>
      </c>
      <c r="I693" s="216"/>
      <c r="J693" s="216"/>
      <c r="K693" s="63"/>
      <c r="L693" s="63"/>
      <c r="M693" s="63"/>
      <c r="N693" s="227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63"/>
      <c r="P693" s="684"/>
      <c r="Q693" s="480"/>
      <c r="R693" s="480"/>
      <c r="S693" s="480"/>
      <c r="T693" s="480"/>
      <c r="U693" s="480"/>
      <c r="V693" s="480"/>
      <c r="W693" s="480"/>
      <c r="X693" s="480"/>
      <c r="Y693" s="480"/>
      <c r="Z693" s="480"/>
    </row>
    <row r="694" spans="1:26" ht="20.25" customHeight="1">
      <c r="A694" s="801"/>
      <c r="B694" s="504"/>
      <c r="C694" s="600"/>
      <c r="D694" s="600"/>
      <c r="E694" s="600"/>
      <c r="F694" s="600" t="s">
        <v>188</v>
      </c>
      <c r="G694" s="479"/>
      <c r="H694" s="623" t="s">
        <v>12</v>
      </c>
      <c r="I694" s="216"/>
      <c r="J694" s="216"/>
      <c r="K694" s="63"/>
      <c r="L694" s="63"/>
      <c r="M694" s="63"/>
      <c r="N694" s="227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271302.12)</f>
        <v>271302.12</v>
      </c>
      <c r="O694" s="63"/>
      <c r="P694" s="684"/>
      <c r="Q694" s="480"/>
      <c r="R694" s="480"/>
      <c r="S694" s="480"/>
      <c r="T694" s="480"/>
      <c r="U694" s="480"/>
      <c r="V694" s="480"/>
      <c r="W694" s="480"/>
      <c r="X694" s="480"/>
      <c r="Y694" s="480"/>
      <c r="Z694" s="480"/>
    </row>
    <row r="695" spans="1:26" ht="20.25" customHeight="1">
      <c r="A695" s="809"/>
      <c r="B695" s="499"/>
      <c r="C695" s="500"/>
      <c r="D695" s="596" t="s">
        <v>19</v>
      </c>
      <c r="E695" s="500"/>
      <c r="F695" s="500"/>
      <c r="G695" s="502"/>
      <c r="H695" s="118" t="s">
        <v>12</v>
      </c>
      <c r="I695" s="115"/>
      <c r="J695" s="115"/>
      <c r="K695" s="116"/>
      <c r="L695" s="23">
        <f t="shared" ref="L695:N695" si="332">L696+L697</f>
        <v>0</v>
      </c>
      <c r="M695" s="23">
        <f t="shared" si="332"/>
        <v>0</v>
      </c>
      <c r="N695" s="23">
        <f t="shared" ca="1" si="332"/>
        <v>0</v>
      </c>
      <c r="O695" s="23">
        <f t="shared" ref="O695:O697" si="333">IF(L695&gt;0,N695*100/L695,0)</f>
        <v>0</v>
      </c>
      <c r="P695" s="682">
        <f t="shared" ref="P695:P697" si="334">IF(M695&gt;0,N695*100/M695,0)</f>
        <v>0</v>
      </c>
      <c r="Q695" s="503"/>
      <c r="R695" s="503"/>
      <c r="S695" s="503"/>
      <c r="T695" s="503"/>
      <c r="U695" s="503"/>
      <c r="V695" s="503"/>
      <c r="W695" s="503"/>
      <c r="X695" s="503"/>
      <c r="Y695" s="503"/>
      <c r="Z695" s="503"/>
    </row>
    <row r="696" spans="1:26" ht="20.25" customHeight="1">
      <c r="A696" s="808"/>
      <c r="B696" s="504"/>
      <c r="C696" s="600"/>
      <c r="D696" s="600"/>
      <c r="E696" s="600" t="s">
        <v>16</v>
      </c>
      <c r="F696" s="600"/>
      <c r="G696" s="479"/>
      <c r="H696" s="623" t="s">
        <v>12</v>
      </c>
      <c r="I696" s="128"/>
      <c r="J696" s="128"/>
      <c r="K696" s="117"/>
      <c r="L696" s="63">
        <v>0</v>
      </c>
      <c r="M696" s="63">
        <v>0</v>
      </c>
      <c r="N696" s="63">
        <f ca="1">IFERROR(__xludf.DUMMYFUNCTION("IMPORTRANGE(""https://docs.google.com/spreadsheets/d/1WhzDrMlrZfqSjGYJh0xYjRtGVhp5LiCqlO7EaAHfOOk/edit?usp=sharing"",""sheet1!BO6"")"),0)</f>
        <v>0</v>
      </c>
      <c r="O696" s="63">
        <f t="shared" si="333"/>
        <v>0</v>
      </c>
      <c r="P696" s="684">
        <f t="shared" si="334"/>
        <v>0</v>
      </c>
      <c r="Q696" s="480"/>
      <c r="R696" s="480"/>
      <c r="S696" s="480"/>
      <c r="T696" s="480"/>
      <c r="U696" s="480"/>
      <c r="V696" s="480"/>
      <c r="W696" s="480"/>
      <c r="X696" s="480"/>
      <c r="Y696" s="480"/>
      <c r="Z696" s="480"/>
    </row>
    <row r="697" spans="1:26" ht="20.25" customHeight="1">
      <c r="A697" s="808"/>
      <c r="B697" s="504"/>
      <c r="C697" s="600"/>
      <c r="D697" s="600"/>
      <c r="E697" s="600" t="s">
        <v>17</v>
      </c>
      <c r="F697" s="600"/>
      <c r="G697" s="479"/>
      <c r="H697" s="119" t="s">
        <v>12</v>
      </c>
      <c r="I697" s="128"/>
      <c r="J697" s="128"/>
      <c r="K697" s="117"/>
      <c r="L697" s="63">
        <v>0</v>
      </c>
      <c r="M697" s="63">
        <v>0</v>
      </c>
      <c r="N697" s="63">
        <v>0</v>
      </c>
      <c r="O697" s="63">
        <f t="shared" si="333"/>
        <v>0</v>
      </c>
      <c r="P697" s="684">
        <f t="shared" si="334"/>
        <v>0</v>
      </c>
      <c r="Q697" s="480"/>
      <c r="R697" s="480"/>
      <c r="S697" s="480"/>
      <c r="T697" s="480"/>
      <c r="U697" s="480"/>
      <c r="V697" s="480"/>
      <c r="W697" s="480"/>
      <c r="X697" s="480"/>
      <c r="Y697" s="480"/>
      <c r="Z697" s="480"/>
    </row>
    <row r="698" spans="1:26" ht="20.25" customHeight="1">
      <c r="A698" s="810"/>
      <c r="B698" s="508"/>
      <c r="C698" s="860" t="s">
        <v>14</v>
      </c>
      <c r="D698" s="597" t="s">
        <v>36</v>
      </c>
      <c r="E698" s="598"/>
      <c r="F698" s="598"/>
      <c r="G698" s="507"/>
      <c r="H698" s="599"/>
      <c r="I698" s="128"/>
      <c r="J698" s="128"/>
      <c r="K698" s="117"/>
      <c r="L698" s="117"/>
      <c r="M698" s="117"/>
      <c r="N698" s="117"/>
      <c r="O698" s="117"/>
      <c r="P698" s="718"/>
      <c r="Q698" s="480"/>
      <c r="R698" s="480"/>
      <c r="S698" s="480"/>
      <c r="T698" s="480"/>
      <c r="U698" s="480"/>
      <c r="V698" s="480"/>
      <c r="W698" s="480"/>
      <c r="X698" s="480"/>
      <c r="Y698" s="480"/>
      <c r="Z698" s="480"/>
    </row>
    <row r="699" spans="1:26" ht="20.25" customHeight="1">
      <c r="A699" s="830"/>
      <c r="B699" s="600"/>
      <c r="C699" s="600"/>
      <c r="D699" s="600" t="s">
        <v>294</v>
      </c>
      <c r="E699" s="600"/>
      <c r="F699" s="600"/>
      <c r="G699" s="479"/>
      <c r="H699" s="601" t="s">
        <v>44</v>
      </c>
      <c r="I699" s="602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16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475.86)</f>
        <v>475.86</v>
      </c>
      <c r="K699" s="63">
        <f t="shared" ref="K699:K701" ca="1" si="335">IF(I699&gt;0,J699*100/I699,0)</f>
        <v>34.482608695652175</v>
      </c>
      <c r="L699" s="63"/>
      <c r="M699" s="479"/>
      <c r="N699" s="603"/>
      <c r="O699" s="63"/>
      <c r="P699" s="684"/>
      <c r="Q699" s="480"/>
      <c r="R699" s="480"/>
      <c r="S699" s="480"/>
      <c r="T699" s="480"/>
      <c r="U699" s="480"/>
      <c r="V699" s="480"/>
      <c r="W699" s="480"/>
      <c r="X699" s="480"/>
      <c r="Y699" s="480"/>
      <c r="Z699" s="480"/>
    </row>
    <row r="700" spans="1:26" ht="20.25" customHeight="1">
      <c r="A700" s="830"/>
      <c r="B700" s="600"/>
      <c r="C700" s="600"/>
      <c r="D700" s="600" t="s">
        <v>295</v>
      </c>
      <c r="E700" s="600"/>
      <c r="F700" s="600"/>
      <c r="G700" s="479"/>
      <c r="H700" s="601" t="s">
        <v>33</v>
      </c>
      <c r="I700" s="602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16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153)</f>
        <v>153</v>
      </c>
      <c r="K700" s="63">
        <f t="shared" ca="1" si="335"/>
        <v>25.801011804384487</v>
      </c>
      <c r="L700" s="63"/>
      <c r="M700" s="479"/>
      <c r="N700" s="603"/>
      <c r="O700" s="63"/>
      <c r="P700" s="684"/>
      <c r="Q700" s="480"/>
      <c r="R700" s="480"/>
      <c r="S700" s="480"/>
      <c r="T700" s="480"/>
      <c r="U700" s="480"/>
      <c r="V700" s="480"/>
      <c r="W700" s="480"/>
      <c r="X700" s="480"/>
      <c r="Y700" s="480"/>
      <c r="Z700" s="480"/>
    </row>
    <row r="701" spans="1:26" ht="20.25" customHeight="1">
      <c r="A701" s="830"/>
      <c r="B701" s="600"/>
      <c r="C701" s="600"/>
      <c r="D701" s="600" t="s">
        <v>296</v>
      </c>
      <c r="E701" s="600"/>
      <c r="F701" s="600"/>
      <c r="G701" s="479"/>
      <c r="H701" s="604" t="s">
        <v>44</v>
      </c>
      <c r="I701" s="605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526">
        <f ca="1">J704+J707</f>
        <v>1521.0650000000001</v>
      </c>
      <c r="K701" s="23">
        <f t="shared" ca="1" si="335"/>
        <v>26.252416292716603</v>
      </c>
      <c r="L701" s="63"/>
      <c r="M701" s="479"/>
      <c r="N701" s="603"/>
      <c r="O701" s="63"/>
      <c r="P701" s="684"/>
      <c r="Q701" s="480"/>
      <c r="R701" s="480"/>
      <c r="S701" s="480"/>
      <c r="T701" s="480"/>
      <c r="U701" s="480"/>
      <c r="V701" s="480"/>
      <c r="W701" s="480"/>
      <c r="X701" s="480"/>
      <c r="Y701" s="480"/>
      <c r="Z701" s="480"/>
    </row>
    <row r="702" spans="1:26" ht="20.25" customHeight="1">
      <c r="A702" s="830"/>
      <c r="B702" s="600"/>
      <c r="C702" s="600"/>
      <c r="D702" s="600"/>
      <c r="E702" s="600" t="s">
        <v>297</v>
      </c>
      <c r="F702" s="600"/>
      <c r="G702" s="479"/>
      <c r="H702" s="601" t="s">
        <v>33</v>
      </c>
      <c r="I702" s="602"/>
      <c r="J702" s="174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93)</f>
        <v>93</v>
      </c>
      <c r="K702" s="63"/>
      <c r="L702" s="63"/>
      <c r="M702" s="479"/>
      <c r="N702" s="603"/>
      <c r="O702" s="63"/>
      <c r="P702" s="684"/>
      <c r="Q702" s="480"/>
      <c r="R702" s="480"/>
      <c r="S702" s="480"/>
      <c r="T702" s="480"/>
      <c r="U702" s="480"/>
      <c r="V702" s="480"/>
      <c r="W702" s="480"/>
      <c r="X702" s="480"/>
      <c r="Y702" s="480"/>
      <c r="Z702" s="480"/>
    </row>
    <row r="703" spans="1:26" ht="20.25" customHeight="1">
      <c r="A703" s="830"/>
      <c r="B703" s="600"/>
      <c r="C703" s="600"/>
      <c r="D703" s="600"/>
      <c r="E703" s="600"/>
      <c r="F703" s="600"/>
      <c r="G703" s="479"/>
      <c r="H703" s="601" t="s">
        <v>32</v>
      </c>
      <c r="I703" s="602"/>
      <c r="J703" s="174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118)</f>
        <v>118</v>
      </c>
      <c r="K703" s="63"/>
      <c r="L703" s="63"/>
      <c r="M703" s="479"/>
      <c r="N703" s="603"/>
      <c r="O703" s="63"/>
      <c r="P703" s="684"/>
      <c r="Q703" s="480"/>
      <c r="R703" s="480"/>
      <c r="S703" s="480"/>
      <c r="T703" s="480"/>
      <c r="U703" s="480"/>
      <c r="V703" s="480"/>
      <c r="W703" s="480"/>
      <c r="X703" s="480"/>
      <c r="Y703" s="480"/>
      <c r="Z703" s="480"/>
    </row>
    <row r="704" spans="1:26" ht="20.25" customHeight="1">
      <c r="A704" s="830"/>
      <c r="B704" s="600"/>
      <c r="C704" s="600"/>
      <c r="D704" s="600"/>
      <c r="E704" s="600"/>
      <c r="F704" s="600"/>
      <c r="G704" s="479"/>
      <c r="H704" s="601" t="s">
        <v>44</v>
      </c>
      <c r="I704" s="602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4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952.525)</f>
        <v>952.52499999999998</v>
      </c>
      <c r="K704" s="63"/>
      <c r="L704" s="63"/>
      <c r="M704" s="479"/>
      <c r="N704" s="603"/>
      <c r="O704" s="63"/>
      <c r="P704" s="684"/>
      <c r="Q704" s="480"/>
      <c r="R704" s="480"/>
      <c r="S704" s="480"/>
      <c r="T704" s="480"/>
      <c r="U704" s="480"/>
      <c r="V704" s="480"/>
      <c r="W704" s="480"/>
      <c r="X704" s="480"/>
      <c r="Y704" s="480"/>
      <c r="Z704" s="480"/>
    </row>
    <row r="705" spans="1:26" ht="20.25" customHeight="1">
      <c r="A705" s="830"/>
      <c r="B705" s="600"/>
      <c r="C705" s="600"/>
      <c r="D705" s="600"/>
      <c r="E705" s="600" t="s">
        <v>298</v>
      </c>
      <c r="F705" s="600"/>
      <c r="G705" s="479"/>
      <c r="H705" s="601" t="s">
        <v>33</v>
      </c>
      <c r="I705" s="602"/>
      <c r="J705" s="174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40)</f>
        <v>40</v>
      </c>
      <c r="K705" s="63"/>
      <c r="L705" s="63"/>
      <c r="M705" s="479"/>
      <c r="N705" s="603"/>
      <c r="O705" s="63"/>
      <c r="P705" s="684"/>
      <c r="Q705" s="480"/>
      <c r="R705" s="480"/>
      <c r="S705" s="480"/>
      <c r="T705" s="480"/>
      <c r="U705" s="480"/>
      <c r="V705" s="480"/>
      <c r="W705" s="480"/>
      <c r="X705" s="480"/>
      <c r="Y705" s="480"/>
      <c r="Z705" s="480"/>
    </row>
    <row r="706" spans="1:26" ht="20.25" customHeight="1">
      <c r="A706" s="830"/>
      <c r="B706" s="600"/>
      <c r="C706" s="600"/>
      <c r="D706" s="600"/>
      <c r="E706" s="600"/>
      <c r="F706" s="600"/>
      <c r="G706" s="479"/>
      <c r="H706" s="601" t="s">
        <v>32</v>
      </c>
      <c r="I706" s="602"/>
      <c r="J706" s="174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45)</f>
        <v>45</v>
      </c>
      <c r="K706" s="63"/>
      <c r="L706" s="63"/>
      <c r="M706" s="479"/>
      <c r="N706" s="603"/>
      <c r="O706" s="63"/>
      <c r="P706" s="684"/>
      <c r="Q706" s="480"/>
      <c r="R706" s="480"/>
      <c r="S706" s="480"/>
      <c r="T706" s="480"/>
      <c r="U706" s="480"/>
      <c r="V706" s="480"/>
      <c r="W706" s="480"/>
      <c r="X706" s="480"/>
      <c r="Y706" s="480"/>
      <c r="Z706" s="480"/>
    </row>
    <row r="707" spans="1:26" ht="20.25" customHeight="1">
      <c r="A707" s="830"/>
      <c r="B707" s="600"/>
      <c r="C707" s="600"/>
      <c r="D707" s="600"/>
      <c r="E707" s="600"/>
      <c r="F707" s="600"/>
      <c r="G707" s="479"/>
      <c r="H707" s="601" t="s">
        <v>44</v>
      </c>
      <c r="I707" s="602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4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568.54)</f>
        <v>568.54</v>
      </c>
      <c r="K707" s="63"/>
      <c r="L707" s="63"/>
      <c r="M707" s="479"/>
      <c r="N707" s="603"/>
      <c r="O707" s="63"/>
      <c r="P707" s="684"/>
      <c r="Q707" s="480"/>
      <c r="R707" s="480"/>
      <c r="S707" s="480"/>
      <c r="T707" s="480"/>
      <c r="U707" s="480"/>
      <c r="V707" s="480"/>
      <c r="W707" s="480"/>
      <c r="X707" s="480"/>
      <c r="Y707" s="480"/>
      <c r="Z707" s="480"/>
    </row>
    <row r="708" spans="1:26" ht="20.25" customHeight="1">
      <c r="A708" s="830"/>
      <c r="B708" s="600"/>
      <c r="C708" s="600"/>
      <c r="D708" s="606" t="s">
        <v>299</v>
      </c>
      <c r="E708" s="600"/>
      <c r="F708" s="600"/>
      <c r="G708" s="479"/>
      <c r="H708" s="604" t="s">
        <v>44</v>
      </c>
      <c r="I708" s="605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526">
        <f ca="1">J714+J717</f>
        <v>1577</v>
      </c>
      <c r="K708" s="23">
        <f ca="1">IF(I708&gt;0,J708*100/I708,0)</f>
        <v>31.755940394683851</v>
      </c>
      <c r="L708" s="63"/>
      <c r="M708" s="479"/>
      <c r="N708" s="603"/>
      <c r="O708" s="63"/>
      <c r="P708" s="684"/>
      <c r="Q708" s="480"/>
      <c r="R708" s="480"/>
      <c r="S708" s="480"/>
      <c r="T708" s="480"/>
      <c r="U708" s="480"/>
      <c r="V708" s="480"/>
      <c r="W708" s="480"/>
      <c r="X708" s="480"/>
      <c r="Y708" s="480"/>
      <c r="Z708" s="480"/>
    </row>
    <row r="709" spans="1:26" ht="20.25" customHeight="1">
      <c r="A709" s="830"/>
      <c r="B709" s="600"/>
      <c r="C709" s="600"/>
      <c r="D709" s="600"/>
      <c r="E709" s="600" t="s">
        <v>300</v>
      </c>
      <c r="F709" s="600"/>
      <c r="G709" s="479"/>
      <c r="H709" s="601" t="s">
        <v>32</v>
      </c>
      <c r="I709" s="602"/>
      <c r="J709" s="174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39)</f>
        <v>39</v>
      </c>
      <c r="K709" s="63"/>
      <c r="L709" s="603"/>
      <c r="M709" s="479"/>
      <c r="N709" s="603"/>
      <c r="O709" s="63"/>
      <c r="P709" s="684"/>
      <c r="Q709" s="480"/>
      <c r="R709" s="480"/>
      <c r="S709" s="480"/>
      <c r="T709" s="480"/>
      <c r="U709" s="480"/>
      <c r="V709" s="480"/>
      <c r="W709" s="480"/>
      <c r="X709" s="480"/>
      <c r="Y709" s="480"/>
      <c r="Z709" s="480"/>
    </row>
    <row r="710" spans="1:26" ht="20.25" customHeight="1">
      <c r="A710" s="830"/>
      <c r="B710" s="600"/>
      <c r="C710" s="600"/>
      <c r="D710" s="600"/>
      <c r="E710" s="600"/>
      <c r="F710" s="600"/>
      <c r="G710" s="479"/>
      <c r="H710" s="601" t="s">
        <v>44</v>
      </c>
      <c r="I710" s="602"/>
      <c r="J710" s="174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648)</f>
        <v>648</v>
      </c>
      <c r="K710" s="63"/>
      <c r="L710" s="603"/>
      <c r="M710" s="479"/>
      <c r="N710" s="603"/>
      <c r="O710" s="63"/>
      <c r="P710" s="684"/>
      <c r="Q710" s="480"/>
      <c r="R710" s="480"/>
      <c r="S710" s="480"/>
      <c r="T710" s="480"/>
      <c r="U710" s="480"/>
      <c r="V710" s="480"/>
      <c r="W710" s="480"/>
      <c r="X710" s="480"/>
      <c r="Y710" s="480"/>
      <c r="Z710" s="480"/>
    </row>
    <row r="711" spans="1:26" ht="20.25" customHeight="1">
      <c r="A711" s="830"/>
      <c r="B711" s="600"/>
      <c r="C711" s="600"/>
      <c r="D711" s="600"/>
      <c r="E711" s="600" t="s">
        <v>301</v>
      </c>
      <c r="F711" s="600"/>
      <c r="G711" s="479"/>
      <c r="H711" s="599"/>
      <c r="I711" s="602"/>
      <c r="J711" s="216"/>
      <c r="K711" s="63"/>
      <c r="L711" s="603"/>
      <c r="M711" s="479"/>
      <c r="N711" s="603"/>
      <c r="O711" s="63"/>
      <c r="P711" s="684"/>
      <c r="Q711" s="480"/>
      <c r="R711" s="480"/>
      <c r="S711" s="480"/>
      <c r="T711" s="480"/>
      <c r="U711" s="480"/>
      <c r="V711" s="480"/>
      <c r="W711" s="480"/>
      <c r="X711" s="480"/>
      <c r="Y711" s="480"/>
      <c r="Z711" s="480"/>
    </row>
    <row r="712" spans="1:26" ht="20.25" customHeight="1">
      <c r="A712" s="830"/>
      <c r="B712" s="600"/>
      <c r="C712" s="600"/>
      <c r="D712" s="600"/>
      <c r="E712" s="600"/>
      <c r="F712" s="600" t="s">
        <v>302</v>
      </c>
      <c r="G712" s="479"/>
      <c r="H712" s="601" t="s">
        <v>33</v>
      </c>
      <c r="I712" s="602"/>
      <c r="J712" s="174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131)</f>
        <v>131</v>
      </c>
      <c r="K712" s="63"/>
      <c r="L712" s="603"/>
      <c r="M712" s="479"/>
      <c r="N712" s="603"/>
      <c r="O712" s="63"/>
      <c r="P712" s="684"/>
      <c r="Q712" s="480"/>
      <c r="R712" s="480"/>
      <c r="S712" s="480"/>
      <c r="T712" s="480"/>
      <c r="U712" s="480"/>
      <c r="V712" s="480"/>
      <c r="W712" s="480"/>
      <c r="X712" s="480"/>
      <c r="Y712" s="480"/>
      <c r="Z712" s="480"/>
    </row>
    <row r="713" spans="1:26" ht="20.25" customHeight="1">
      <c r="A713" s="830"/>
      <c r="B713" s="600"/>
      <c r="C713" s="600"/>
      <c r="D713" s="600"/>
      <c r="E713" s="600"/>
      <c r="F713" s="600"/>
      <c r="G713" s="479"/>
      <c r="H713" s="601" t="s">
        <v>32</v>
      </c>
      <c r="I713" s="602"/>
      <c r="J713" s="174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123)</f>
        <v>123</v>
      </c>
      <c r="K713" s="63"/>
      <c r="L713" s="603"/>
      <c r="M713" s="479"/>
      <c r="N713" s="603"/>
      <c r="O713" s="63"/>
      <c r="P713" s="684"/>
      <c r="Q713" s="480"/>
      <c r="R713" s="480"/>
      <c r="S713" s="480"/>
      <c r="T713" s="480"/>
      <c r="U713" s="480"/>
      <c r="V713" s="480"/>
      <c r="W713" s="480"/>
      <c r="X713" s="480"/>
      <c r="Y713" s="480"/>
      <c r="Z713" s="480"/>
    </row>
    <row r="714" spans="1:26" ht="20.25" customHeight="1">
      <c r="A714" s="830"/>
      <c r="B714" s="600"/>
      <c r="C714" s="600"/>
      <c r="D714" s="600"/>
      <c r="E714" s="600"/>
      <c r="F714" s="600"/>
      <c r="G714" s="479"/>
      <c r="H714" s="601" t="s">
        <v>44</v>
      </c>
      <c r="I714" s="602"/>
      <c r="J714" s="174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1213)</f>
        <v>1213</v>
      </c>
      <c r="K714" s="63"/>
      <c r="L714" s="603"/>
      <c r="M714" s="479"/>
      <c r="N714" s="603"/>
      <c r="O714" s="63"/>
      <c r="P714" s="684"/>
      <c r="Q714" s="480"/>
      <c r="R714" s="480"/>
      <c r="S714" s="480"/>
      <c r="T714" s="480"/>
      <c r="U714" s="480"/>
      <c r="V714" s="480"/>
      <c r="W714" s="480"/>
      <c r="X714" s="480"/>
      <c r="Y714" s="480"/>
      <c r="Z714" s="480"/>
    </row>
    <row r="715" spans="1:26" ht="20.25" customHeight="1">
      <c r="A715" s="830"/>
      <c r="B715" s="600"/>
      <c r="C715" s="600"/>
      <c r="D715" s="600"/>
      <c r="E715" s="600"/>
      <c r="F715" s="600" t="s">
        <v>303</v>
      </c>
      <c r="G715" s="479"/>
      <c r="H715" s="601" t="s">
        <v>33</v>
      </c>
      <c r="I715" s="602"/>
      <c r="J715" s="174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12)</f>
        <v>12</v>
      </c>
      <c r="K715" s="63"/>
      <c r="L715" s="603"/>
      <c r="M715" s="479"/>
      <c r="N715" s="603"/>
      <c r="O715" s="63"/>
      <c r="P715" s="684"/>
      <c r="Q715" s="480"/>
      <c r="R715" s="480"/>
      <c r="S715" s="480"/>
      <c r="T715" s="480"/>
      <c r="U715" s="480"/>
      <c r="V715" s="480"/>
      <c r="W715" s="480"/>
      <c r="X715" s="480"/>
      <c r="Y715" s="480"/>
      <c r="Z715" s="480"/>
    </row>
    <row r="716" spans="1:26" ht="20.25" customHeight="1">
      <c r="A716" s="830"/>
      <c r="B716" s="600"/>
      <c r="C716" s="600"/>
      <c r="D716" s="600"/>
      <c r="E716" s="600"/>
      <c r="F716" s="600"/>
      <c r="G716" s="479"/>
      <c r="H716" s="601" t="s">
        <v>32</v>
      </c>
      <c r="I716" s="602"/>
      <c r="J716" s="174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37)</f>
        <v>37</v>
      </c>
      <c r="K716" s="63"/>
      <c r="L716" s="603"/>
      <c r="M716" s="479"/>
      <c r="N716" s="603"/>
      <c r="O716" s="63"/>
      <c r="P716" s="684"/>
      <c r="Q716" s="480"/>
      <c r="R716" s="480"/>
      <c r="S716" s="480"/>
      <c r="T716" s="480"/>
      <c r="U716" s="480"/>
      <c r="V716" s="480"/>
      <c r="W716" s="480"/>
      <c r="X716" s="480"/>
      <c r="Y716" s="480"/>
      <c r="Z716" s="480"/>
    </row>
    <row r="717" spans="1:26" ht="20.25" customHeight="1">
      <c r="A717" s="830"/>
      <c r="B717" s="600"/>
      <c r="C717" s="600"/>
      <c r="D717" s="600"/>
      <c r="E717" s="600"/>
      <c r="F717" s="600"/>
      <c r="G717" s="479"/>
      <c r="H717" s="601" t="s">
        <v>44</v>
      </c>
      <c r="I717" s="602"/>
      <c r="J717" s="174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364)</f>
        <v>364</v>
      </c>
      <c r="K717" s="63"/>
      <c r="L717" s="603"/>
      <c r="M717" s="479"/>
      <c r="N717" s="603"/>
      <c r="O717" s="63"/>
      <c r="P717" s="684"/>
      <c r="Q717" s="480"/>
      <c r="R717" s="480"/>
      <c r="S717" s="480"/>
      <c r="T717" s="480"/>
      <c r="U717" s="480"/>
      <c r="V717" s="480"/>
      <c r="W717" s="480"/>
      <c r="X717" s="480"/>
      <c r="Y717" s="480"/>
      <c r="Z717" s="480"/>
    </row>
    <row r="718" spans="1:26" ht="20.25" customHeight="1">
      <c r="A718" s="830"/>
      <c r="B718" s="600"/>
      <c r="C718" s="600"/>
      <c r="D718" s="600" t="s">
        <v>304</v>
      </c>
      <c r="E718" s="600"/>
      <c r="F718" s="600"/>
      <c r="G718" s="479"/>
      <c r="H718" s="601" t="s">
        <v>33</v>
      </c>
      <c r="I718" s="602"/>
      <c r="J718" s="216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46)</f>
        <v>46</v>
      </c>
      <c r="K718" s="63"/>
      <c r="L718" s="63"/>
      <c r="M718" s="479"/>
      <c r="N718" s="603"/>
      <c r="O718" s="63"/>
      <c r="P718" s="684"/>
      <c r="Q718" s="480"/>
      <c r="R718" s="480"/>
      <c r="S718" s="480"/>
      <c r="T718" s="480"/>
      <c r="U718" s="480"/>
      <c r="V718" s="480"/>
      <c r="W718" s="480"/>
      <c r="X718" s="480"/>
      <c r="Y718" s="480"/>
      <c r="Z718" s="480"/>
    </row>
    <row r="719" spans="1:26" ht="20.25" customHeight="1">
      <c r="A719" s="830"/>
      <c r="B719" s="600"/>
      <c r="C719" s="600"/>
      <c r="D719" s="600"/>
      <c r="E719" s="600"/>
      <c r="F719" s="600"/>
      <c r="G719" s="479"/>
      <c r="H719" s="601" t="s">
        <v>32</v>
      </c>
      <c r="I719" s="602"/>
      <c r="J719" s="216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49)</f>
        <v>49</v>
      </c>
      <c r="K719" s="63"/>
      <c r="L719" s="603"/>
      <c r="M719" s="479"/>
      <c r="N719" s="603"/>
      <c r="O719" s="63"/>
      <c r="P719" s="684"/>
      <c r="Q719" s="480"/>
      <c r="R719" s="480"/>
      <c r="S719" s="480"/>
      <c r="T719" s="480"/>
      <c r="U719" s="480"/>
      <c r="V719" s="480"/>
      <c r="W719" s="480"/>
      <c r="X719" s="480"/>
      <c r="Y719" s="480"/>
      <c r="Z719" s="480"/>
    </row>
    <row r="720" spans="1:26" ht="20.25" customHeight="1">
      <c r="A720" s="830"/>
      <c r="B720" s="600"/>
      <c r="C720" s="600"/>
      <c r="D720" s="600"/>
      <c r="E720" s="600"/>
      <c r="F720" s="600"/>
      <c r="G720" s="479"/>
      <c r="H720" s="601" t="s">
        <v>44</v>
      </c>
      <c r="I720" s="602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16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408.9)</f>
        <v>408.9</v>
      </c>
      <c r="K720" s="63">
        <f t="shared" ref="K720:K723" ca="1" si="336">IF(I720&gt;0,J720*100/I720,0)</f>
        <v>6.6780989710926013</v>
      </c>
      <c r="L720" s="603"/>
      <c r="M720" s="479"/>
      <c r="N720" s="603"/>
      <c r="O720" s="63"/>
      <c r="P720" s="684"/>
      <c r="Q720" s="480"/>
      <c r="R720" s="480"/>
      <c r="S720" s="480"/>
      <c r="T720" s="480"/>
      <c r="U720" s="480"/>
      <c r="V720" s="480"/>
      <c r="W720" s="480"/>
      <c r="X720" s="480"/>
      <c r="Y720" s="480"/>
      <c r="Z720" s="480"/>
    </row>
    <row r="721" spans="1:26" ht="20.25" customHeight="1">
      <c r="A721" s="830"/>
      <c r="B721" s="600"/>
      <c r="C721" s="600"/>
      <c r="D721" s="600" t="s">
        <v>305</v>
      </c>
      <c r="E721" s="600"/>
      <c r="F721" s="600"/>
      <c r="G721" s="479"/>
      <c r="H721" s="604" t="s">
        <v>33</v>
      </c>
      <c r="I721" s="605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526">
        <f ca="1">J723+J726</f>
        <v>143</v>
      </c>
      <c r="K721" s="23">
        <f t="shared" ca="1" si="336"/>
        <v>26.728971962616821</v>
      </c>
      <c r="L721" s="603"/>
      <c r="M721" s="479"/>
      <c r="N721" s="603"/>
      <c r="O721" s="63"/>
      <c r="P721" s="684"/>
      <c r="Q721" s="480"/>
      <c r="R721" s="480"/>
      <c r="S721" s="480"/>
      <c r="T721" s="480"/>
      <c r="U721" s="480"/>
      <c r="V721" s="480"/>
      <c r="W721" s="480"/>
      <c r="X721" s="480"/>
      <c r="Y721" s="480"/>
      <c r="Z721" s="480"/>
    </row>
    <row r="722" spans="1:26" ht="20.25" customHeight="1">
      <c r="A722" s="830"/>
      <c r="B722" s="600"/>
      <c r="C722" s="600"/>
      <c r="D722" s="600"/>
      <c r="E722" s="600"/>
      <c r="F722" s="600"/>
      <c r="G722" s="479"/>
      <c r="H722" s="604" t="s">
        <v>44</v>
      </c>
      <c r="I722" s="605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526">
        <f ca="1">J725+J728</f>
        <v>1752.21</v>
      </c>
      <c r="K722" s="23">
        <f t="shared" ca="1" si="336"/>
        <v>31.696997105643995</v>
      </c>
      <c r="L722" s="63"/>
      <c r="M722" s="479"/>
      <c r="N722" s="603"/>
      <c r="O722" s="63"/>
      <c r="P722" s="684"/>
      <c r="Q722" s="480"/>
      <c r="R722" s="480"/>
      <c r="S722" s="480"/>
      <c r="T722" s="480"/>
      <c r="U722" s="480"/>
      <c r="V722" s="480"/>
      <c r="W722" s="480"/>
      <c r="X722" s="480"/>
      <c r="Y722" s="480"/>
      <c r="Z722" s="480"/>
    </row>
    <row r="723" spans="1:26" ht="20.25" customHeight="1">
      <c r="A723" s="830"/>
      <c r="B723" s="600"/>
      <c r="C723" s="600"/>
      <c r="D723" s="600"/>
      <c r="E723" s="600" t="s">
        <v>306</v>
      </c>
      <c r="F723" s="600"/>
      <c r="G723" s="479"/>
      <c r="H723" s="601" t="s">
        <v>33</v>
      </c>
      <c r="I723" s="602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16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115)</f>
        <v>115</v>
      </c>
      <c r="K723" s="63">
        <f t="shared" ca="1" si="336"/>
        <v>28.255528255528255</v>
      </c>
      <c r="L723" s="63"/>
      <c r="M723" s="479"/>
      <c r="N723" s="603"/>
      <c r="O723" s="63"/>
      <c r="P723" s="684"/>
      <c r="Q723" s="480"/>
      <c r="R723" s="480"/>
      <c r="S723" s="480"/>
      <c r="T723" s="480"/>
      <c r="U723" s="480"/>
      <c r="V723" s="480"/>
      <c r="W723" s="480"/>
      <c r="X723" s="480"/>
      <c r="Y723" s="480"/>
      <c r="Z723" s="480"/>
    </row>
    <row r="724" spans="1:26" ht="20.25" customHeight="1">
      <c r="A724" s="830"/>
      <c r="B724" s="600"/>
      <c r="C724" s="600"/>
      <c r="D724" s="600"/>
      <c r="E724" s="600"/>
      <c r="F724" s="600"/>
      <c r="G724" s="479"/>
      <c r="H724" s="601" t="s">
        <v>32</v>
      </c>
      <c r="I724" s="602"/>
      <c r="J724" s="216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133)</f>
        <v>133</v>
      </c>
      <c r="K724" s="63"/>
      <c r="L724" s="603"/>
      <c r="M724" s="479"/>
      <c r="N724" s="603"/>
      <c r="O724" s="63"/>
      <c r="P724" s="684"/>
      <c r="Q724" s="480"/>
      <c r="R724" s="480"/>
      <c r="S724" s="480"/>
      <c r="T724" s="480"/>
      <c r="U724" s="480"/>
      <c r="V724" s="480"/>
      <c r="W724" s="480"/>
      <c r="X724" s="480"/>
      <c r="Y724" s="480"/>
      <c r="Z724" s="480"/>
    </row>
    <row r="725" spans="1:26" ht="20.25" customHeight="1">
      <c r="A725" s="830"/>
      <c r="B725" s="600"/>
      <c r="C725" s="600"/>
      <c r="D725" s="600"/>
      <c r="E725" s="600"/>
      <c r="F725" s="600"/>
      <c r="G725" s="479"/>
      <c r="H725" s="601" t="s">
        <v>44</v>
      </c>
      <c r="I725" s="602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16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1611.14)</f>
        <v>1611.14</v>
      </c>
      <c r="K725" s="63">
        <f t="shared" ref="K725:K726" ca="1" si="337">IF(I725&gt;0,J725*100/I725,0)</f>
        <v>34.963975694444443</v>
      </c>
      <c r="L725" s="603"/>
      <c r="M725" s="479"/>
      <c r="N725" s="603"/>
      <c r="O725" s="63"/>
      <c r="P725" s="684"/>
      <c r="Q725" s="480"/>
      <c r="R725" s="480"/>
      <c r="S725" s="480"/>
      <c r="T725" s="480"/>
      <c r="U725" s="480"/>
      <c r="V725" s="480"/>
      <c r="W725" s="480"/>
      <c r="X725" s="480"/>
      <c r="Y725" s="480"/>
      <c r="Z725" s="480"/>
    </row>
    <row r="726" spans="1:26" ht="20.25" customHeight="1">
      <c r="A726" s="830"/>
      <c r="B726" s="600"/>
      <c r="C726" s="600"/>
      <c r="D726" s="600"/>
      <c r="E726" s="600" t="s">
        <v>307</v>
      </c>
      <c r="F726" s="600"/>
      <c r="G726" s="479"/>
      <c r="H726" s="601" t="s">
        <v>33</v>
      </c>
      <c r="I726" s="602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16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28)</f>
        <v>28</v>
      </c>
      <c r="K726" s="63">
        <f t="shared" ca="1" si="337"/>
        <v>21.875</v>
      </c>
      <c r="L726" s="63"/>
      <c r="M726" s="479"/>
      <c r="N726" s="603"/>
      <c r="O726" s="63"/>
      <c r="P726" s="684"/>
      <c r="Q726" s="480"/>
      <c r="R726" s="480"/>
      <c r="S726" s="480"/>
      <c r="T726" s="480"/>
      <c r="U726" s="480"/>
      <c r="V726" s="480"/>
      <c r="W726" s="480"/>
      <c r="X726" s="480"/>
      <c r="Y726" s="480"/>
      <c r="Z726" s="480"/>
    </row>
    <row r="727" spans="1:26" ht="20.25" customHeight="1">
      <c r="A727" s="830"/>
      <c r="B727" s="600"/>
      <c r="C727" s="600"/>
      <c r="D727" s="600"/>
      <c r="E727" s="600"/>
      <c r="F727" s="600"/>
      <c r="G727" s="479"/>
      <c r="H727" s="601" t="s">
        <v>32</v>
      </c>
      <c r="I727" s="602"/>
      <c r="J727" s="216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31)</f>
        <v>31</v>
      </c>
      <c r="K727" s="63"/>
      <c r="L727" s="603"/>
      <c r="M727" s="479"/>
      <c r="N727" s="603"/>
      <c r="O727" s="63"/>
      <c r="P727" s="684"/>
      <c r="Q727" s="480"/>
      <c r="R727" s="480"/>
      <c r="S727" s="480"/>
      <c r="T727" s="480"/>
      <c r="U727" s="480"/>
      <c r="V727" s="480"/>
      <c r="W727" s="480"/>
      <c r="X727" s="480"/>
      <c r="Y727" s="480"/>
      <c r="Z727" s="480"/>
    </row>
    <row r="728" spans="1:26" ht="20.25" customHeight="1">
      <c r="A728" s="830"/>
      <c r="B728" s="600"/>
      <c r="C728" s="600"/>
      <c r="D728" s="600"/>
      <c r="E728" s="600"/>
      <c r="F728" s="600"/>
      <c r="G728" s="479"/>
      <c r="H728" s="601" t="s">
        <v>44</v>
      </c>
      <c r="I728" s="602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16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141.07)</f>
        <v>141.07</v>
      </c>
      <c r="K728" s="63">
        <f t="shared" ref="K728:K729" ca="1" si="338">IF(I728&gt;0,J728*100/I728,0)</f>
        <v>15.333695652173914</v>
      </c>
      <c r="L728" s="603"/>
      <c r="M728" s="479"/>
      <c r="N728" s="603"/>
      <c r="O728" s="63"/>
      <c r="P728" s="684"/>
      <c r="Q728" s="480"/>
      <c r="R728" s="480"/>
      <c r="S728" s="480"/>
      <c r="T728" s="480"/>
      <c r="U728" s="480"/>
      <c r="V728" s="480"/>
      <c r="W728" s="480"/>
      <c r="X728" s="480"/>
      <c r="Y728" s="480"/>
      <c r="Z728" s="480"/>
    </row>
    <row r="729" spans="1:26" ht="20.25" customHeight="1">
      <c r="A729" s="830"/>
      <c r="B729" s="600"/>
      <c r="C729" s="600"/>
      <c r="D729" s="600" t="s">
        <v>308</v>
      </c>
      <c r="E729" s="600"/>
      <c r="F729" s="600"/>
      <c r="G729" s="479"/>
      <c r="H729" s="604" t="s">
        <v>44</v>
      </c>
      <c r="I729" s="605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526">
        <f ca="1">J732+J735</f>
        <v>1830.8975</v>
      </c>
      <c r="K729" s="23">
        <f t="shared" ca="1" si="338"/>
        <v>80.337757788503723</v>
      </c>
      <c r="L729" s="63"/>
      <c r="M729" s="479"/>
      <c r="N729" s="603"/>
      <c r="O729" s="63"/>
      <c r="P729" s="684"/>
      <c r="Q729" s="480"/>
      <c r="R729" s="480"/>
      <c r="S729" s="480"/>
      <c r="T729" s="480"/>
      <c r="U729" s="480"/>
      <c r="V729" s="480"/>
      <c r="W729" s="480"/>
      <c r="X729" s="480"/>
      <c r="Y729" s="480"/>
      <c r="Z729" s="480"/>
    </row>
    <row r="730" spans="1:26" ht="20.25" customHeight="1">
      <c r="A730" s="830"/>
      <c r="B730" s="600"/>
      <c r="C730" s="600"/>
      <c r="D730" s="600"/>
      <c r="E730" s="600" t="s">
        <v>309</v>
      </c>
      <c r="F730" s="600"/>
      <c r="G730" s="479"/>
      <c r="H730" s="601" t="s">
        <v>33</v>
      </c>
      <c r="I730" s="602"/>
      <c r="J730" s="174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73)</f>
        <v>73</v>
      </c>
      <c r="K730" s="63"/>
      <c r="L730" s="603"/>
      <c r="M730" s="63"/>
      <c r="N730" s="603"/>
      <c r="O730" s="63"/>
      <c r="P730" s="684"/>
      <c r="Q730" s="480"/>
      <c r="R730" s="480"/>
      <c r="S730" s="480"/>
      <c r="T730" s="480"/>
      <c r="U730" s="480"/>
      <c r="V730" s="480"/>
      <c r="W730" s="480"/>
      <c r="X730" s="480"/>
      <c r="Y730" s="480"/>
      <c r="Z730" s="480"/>
    </row>
    <row r="731" spans="1:26" ht="20.25" customHeight="1">
      <c r="A731" s="830"/>
      <c r="B731" s="600"/>
      <c r="C731" s="600"/>
      <c r="D731" s="600"/>
      <c r="E731" s="600"/>
      <c r="F731" s="600"/>
      <c r="G731" s="479"/>
      <c r="H731" s="601" t="s">
        <v>32</v>
      </c>
      <c r="I731" s="602"/>
      <c r="J731" s="174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72)</f>
        <v>72</v>
      </c>
      <c r="K731" s="63"/>
      <c r="L731" s="603"/>
      <c r="M731" s="63"/>
      <c r="N731" s="603"/>
      <c r="O731" s="63"/>
      <c r="P731" s="684"/>
      <c r="Q731" s="480"/>
      <c r="R731" s="480"/>
      <c r="S731" s="480"/>
      <c r="T731" s="480"/>
      <c r="U731" s="480"/>
      <c r="V731" s="480"/>
      <c r="W731" s="480"/>
      <c r="X731" s="480"/>
      <c r="Y731" s="480"/>
      <c r="Z731" s="480"/>
    </row>
    <row r="732" spans="1:26" ht="20.25" customHeight="1">
      <c r="A732" s="830"/>
      <c r="B732" s="600"/>
      <c r="C732" s="600"/>
      <c r="D732" s="600"/>
      <c r="E732" s="600"/>
      <c r="F732" s="600"/>
      <c r="G732" s="479"/>
      <c r="H732" s="601" t="s">
        <v>44</v>
      </c>
      <c r="I732" s="602"/>
      <c r="J732" s="174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781.2325)</f>
        <v>781.23249999999996</v>
      </c>
      <c r="K732" s="63"/>
      <c r="L732" s="603"/>
      <c r="M732" s="63"/>
      <c r="N732" s="603"/>
      <c r="O732" s="63"/>
      <c r="P732" s="684"/>
      <c r="Q732" s="480"/>
      <c r="R732" s="480"/>
      <c r="S732" s="480"/>
      <c r="T732" s="480"/>
      <c r="U732" s="480"/>
      <c r="V732" s="480"/>
      <c r="W732" s="480"/>
      <c r="X732" s="480"/>
      <c r="Y732" s="480"/>
      <c r="Z732" s="480"/>
    </row>
    <row r="733" spans="1:26" ht="20.25" customHeight="1">
      <c r="A733" s="830"/>
      <c r="B733" s="600"/>
      <c r="C733" s="600"/>
      <c r="D733" s="600"/>
      <c r="E733" s="600" t="s">
        <v>310</v>
      </c>
      <c r="F733" s="600"/>
      <c r="G733" s="479"/>
      <c r="H733" s="601" t="s">
        <v>33</v>
      </c>
      <c r="I733" s="602"/>
      <c r="J733" s="174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104)</f>
        <v>104</v>
      </c>
      <c r="K733" s="63"/>
      <c r="L733" s="603"/>
      <c r="M733" s="63"/>
      <c r="N733" s="603"/>
      <c r="O733" s="63"/>
      <c r="P733" s="684"/>
      <c r="Q733" s="480"/>
      <c r="R733" s="480"/>
      <c r="S733" s="480"/>
      <c r="T733" s="480"/>
      <c r="U733" s="480"/>
      <c r="V733" s="480"/>
      <c r="W733" s="480"/>
      <c r="X733" s="480"/>
      <c r="Y733" s="480"/>
      <c r="Z733" s="480"/>
    </row>
    <row r="734" spans="1:26" ht="20.25" customHeight="1">
      <c r="A734" s="830"/>
      <c r="B734" s="600"/>
      <c r="C734" s="600"/>
      <c r="D734" s="600"/>
      <c r="E734" s="600"/>
      <c r="F734" s="600"/>
      <c r="G734" s="479"/>
      <c r="H734" s="601" t="s">
        <v>32</v>
      </c>
      <c r="I734" s="602"/>
      <c r="J734" s="174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115)</f>
        <v>115</v>
      </c>
      <c r="K734" s="63"/>
      <c r="L734" s="603"/>
      <c r="M734" s="63"/>
      <c r="N734" s="603"/>
      <c r="O734" s="63"/>
      <c r="P734" s="684"/>
      <c r="Q734" s="480"/>
      <c r="R734" s="480"/>
      <c r="S734" s="480"/>
      <c r="T734" s="480"/>
      <c r="U734" s="480"/>
      <c r="V734" s="480"/>
      <c r="W734" s="480"/>
      <c r="X734" s="480"/>
      <c r="Y734" s="480"/>
      <c r="Z734" s="480"/>
    </row>
    <row r="735" spans="1:26" ht="20.25" customHeight="1">
      <c r="A735" s="836"/>
      <c r="B735" s="607" t="s">
        <v>311</v>
      </c>
      <c r="C735" s="576"/>
      <c r="D735" s="576"/>
      <c r="E735" s="576"/>
      <c r="F735" s="576"/>
      <c r="G735" s="577"/>
      <c r="H735" s="578" t="s">
        <v>44</v>
      </c>
      <c r="I735" s="608"/>
      <c r="J735" s="579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1049.665)</f>
        <v>1049.665</v>
      </c>
      <c r="K735" s="30"/>
      <c r="L735" s="609"/>
      <c r="M735" s="30"/>
      <c r="N735" s="609"/>
      <c r="O735" s="30"/>
      <c r="P735" s="686"/>
      <c r="Q735" s="480"/>
      <c r="R735" s="480"/>
      <c r="S735" s="480"/>
      <c r="T735" s="480"/>
      <c r="U735" s="480"/>
      <c r="V735" s="480"/>
      <c r="W735" s="480"/>
      <c r="X735" s="480"/>
      <c r="Y735" s="480"/>
      <c r="Z735" s="480"/>
    </row>
    <row r="736" spans="1:26" ht="20.25" customHeight="1">
      <c r="A736" s="832">
        <v>9</v>
      </c>
      <c r="B736" s="580" t="s">
        <v>312</v>
      </c>
      <c r="C736" s="581"/>
      <c r="D736" s="581"/>
      <c r="E736" s="581"/>
      <c r="F736" s="581"/>
      <c r="G736" s="582"/>
      <c r="H736" s="610" t="s">
        <v>44</v>
      </c>
      <c r="I736" s="611">
        <f t="shared" ref="I736:J736" si="339">I751</f>
        <v>353000</v>
      </c>
      <c r="J736" s="611">
        <f t="shared" si="339"/>
        <v>274193</v>
      </c>
      <c r="K736" s="584">
        <f>IF(I736&gt;0,J736*100/I736,0)</f>
        <v>77.675070821529744</v>
      </c>
      <c r="L736" s="585"/>
      <c r="M736" s="585"/>
      <c r="N736" s="585"/>
      <c r="O736" s="585"/>
      <c r="P736" s="829"/>
      <c r="Q736" s="480"/>
      <c r="R736" s="480"/>
      <c r="S736" s="480"/>
      <c r="T736" s="480"/>
      <c r="U736" s="480"/>
      <c r="V736" s="480"/>
      <c r="W736" s="480"/>
      <c r="X736" s="480"/>
      <c r="Y736" s="480"/>
      <c r="Z736" s="480"/>
    </row>
    <row r="737" spans="1:26" ht="20.25" customHeight="1">
      <c r="A737" s="808"/>
      <c r="B737" s="600"/>
      <c r="C737" s="860" t="s">
        <v>14</v>
      </c>
      <c r="D737" s="861" t="s">
        <v>15</v>
      </c>
      <c r="E737" s="862"/>
      <c r="F737" s="862"/>
      <c r="G737" s="479"/>
      <c r="H737" s="114" t="s">
        <v>12</v>
      </c>
      <c r="I737" s="216"/>
      <c r="J737" s="216"/>
      <c r="K737" s="63"/>
      <c r="L737" s="23">
        <f t="shared" ref="L737:N737" ca="1" si="340">L738+L739</f>
        <v>2610000</v>
      </c>
      <c r="M737" s="23">
        <f t="shared" ca="1" si="340"/>
        <v>2610000</v>
      </c>
      <c r="N737" s="23">
        <f t="shared" ca="1" si="340"/>
        <v>1324034.32</v>
      </c>
      <c r="O737" s="23">
        <f t="shared" ref="O737:O742" ca="1" si="341">IF(L737&gt;0,N737*100/L737,0)</f>
        <v>50.729284291187739</v>
      </c>
      <c r="P737" s="682">
        <f t="shared" ref="P737:P742" ca="1" si="342">IF(M737&gt;0,N737*100/M737,0)</f>
        <v>50.729284291187739</v>
      </c>
      <c r="Q737" s="480"/>
      <c r="R737" s="480"/>
      <c r="S737" s="480"/>
      <c r="T737" s="480"/>
      <c r="U737" s="480"/>
      <c r="V737" s="480"/>
      <c r="W737" s="480"/>
      <c r="X737" s="480"/>
      <c r="Y737" s="480"/>
      <c r="Z737" s="480"/>
    </row>
    <row r="738" spans="1:26" ht="20.25" customHeight="1">
      <c r="A738" s="808"/>
      <c r="B738" s="600"/>
      <c r="C738" s="600"/>
      <c r="D738" s="574"/>
      <c r="E738" s="600" t="s">
        <v>183</v>
      </c>
      <c r="F738" s="600"/>
      <c r="G738" s="479"/>
      <c r="H738" s="623" t="s">
        <v>12</v>
      </c>
      <c r="I738" s="216"/>
      <c r="J738" s="216"/>
      <c r="K738" s="63"/>
      <c r="L738" s="63">
        <f t="shared" ref="L738:N738" ca="1" si="343">L741+L748</f>
        <v>2610000</v>
      </c>
      <c r="M738" s="63">
        <f t="shared" ca="1" si="343"/>
        <v>2610000</v>
      </c>
      <c r="N738" s="63">
        <f t="shared" ca="1" si="343"/>
        <v>1324034.32</v>
      </c>
      <c r="O738" s="63">
        <f t="shared" ca="1" si="341"/>
        <v>50.729284291187739</v>
      </c>
      <c r="P738" s="684">
        <f t="shared" ca="1" si="342"/>
        <v>50.729284291187739</v>
      </c>
      <c r="Q738" s="480"/>
      <c r="R738" s="480"/>
      <c r="S738" s="480"/>
      <c r="T738" s="480"/>
      <c r="U738" s="480"/>
      <c r="V738" s="480"/>
      <c r="W738" s="480"/>
      <c r="X738" s="480"/>
      <c r="Y738" s="480"/>
      <c r="Z738" s="480"/>
    </row>
    <row r="739" spans="1:26" ht="20.25" customHeight="1">
      <c r="A739" s="808"/>
      <c r="B739" s="504"/>
      <c r="C739" s="600"/>
      <c r="D739" s="574"/>
      <c r="E739" s="600" t="s">
        <v>184</v>
      </c>
      <c r="F739" s="600"/>
      <c r="G739" s="479"/>
      <c r="H739" s="623" t="s">
        <v>12</v>
      </c>
      <c r="I739" s="216"/>
      <c r="J739" s="216"/>
      <c r="K739" s="63"/>
      <c r="L739" s="63">
        <f t="shared" ref="L739:N739" si="344">L742+L749</f>
        <v>0</v>
      </c>
      <c r="M739" s="63">
        <f t="shared" si="344"/>
        <v>0</v>
      </c>
      <c r="N739" s="63">
        <f t="shared" si="344"/>
        <v>0</v>
      </c>
      <c r="O739" s="63">
        <f t="shared" si="341"/>
        <v>0</v>
      </c>
      <c r="P739" s="684">
        <f t="shared" si="342"/>
        <v>0</v>
      </c>
      <c r="Q739" s="480"/>
      <c r="R739" s="480"/>
      <c r="S739" s="480"/>
      <c r="T739" s="480"/>
      <c r="U739" s="480"/>
      <c r="V739" s="480"/>
      <c r="W739" s="480"/>
      <c r="X739" s="480"/>
      <c r="Y739" s="480"/>
      <c r="Z739" s="480"/>
    </row>
    <row r="740" spans="1:26" ht="20.25" customHeight="1">
      <c r="A740" s="808"/>
      <c r="B740" s="504"/>
      <c r="C740" s="600"/>
      <c r="D740" s="501" t="s">
        <v>18</v>
      </c>
      <c r="E740" s="600"/>
      <c r="F740" s="600"/>
      <c r="G740" s="479"/>
      <c r="H740" s="114" t="s">
        <v>12</v>
      </c>
      <c r="I740" s="128"/>
      <c r="J740" s="128"/>
      <c r="K740" s="117"/>
      <c r="L740" s="23">
        <f t="shared" ref="L740:N740" ca="1" si="345">L741+L742</f>
        <v>2610000</v>
      </c>
      <c r="M740" s="23">
        <f t="shared" ca="1" si="345"/>
        <v>2610000</v>
      </c>
      <c r="N740" s="23">
        <f t="shared" ca="1" si="345"/>
        <v>1324034.32</v>
      </c>
      <c r="O740" s="23">
        <f t="shared" ca="1" si="341"/>
        <v>50.729284291187739</v>
      </c>
      <c r="P740" s="682">
        <f t="shared" ca="1" si="342"/>
        <v>50.729284291187739</v>
      </c>
      <c r="Q740" s="480"/>
      <c r="R740" s="480"/>
      <c r="S740" s="480"/>
      <c r="T740" s="480"/>
      <c r="U740" s="480"/>
      <c r="V740" s="480"/>
      <c r="W740" s="480"/>
      <c r="X740" s="480"/>
      <c r="Y740" s="480"/>
      <c r="Z740" s="480"/>
    </row>
    <row r="741" spans="1:26" ht="20.25" customHeight="1">
      <c r="A741" s="808"/>
      <c r="B741" s="504"/>
      <c r="C741" s="600"/>
      <c r="D741" s="574"/>
      <c r="E741" s="600" t="s">
        <v>183</v>
      </c>
      <c r="F741" s="600"/>
      <c r="G741" s="479"/>
      <c r="H741" s="623" t="s">
        <v>12</v>
      </c>
      <c r="I741" s="216"/>
      <c r="J741" s="216"/>
      <c r="K741" s="63"/>
      <c r="L741" s="63">
        <f ca="1">IFERROR(__xludf.DUMMYFUNCTION("IMPORTRANGE(""https://docs.google.com/spreadsheets/d/1QqKyyYR6Q21VydFLVH3TRQUabQu_ym0Zz7PgGX0-kHA/edit?usp=sharing"",""แผน!IR11"")"),2610000)</f>
        <v>2610000</v>
      </c>
      <c r="M741" s="63">
        <f ca="1">L741</f>
        <v>2610000</v>
      </c>
      <c r="N741" s="63">
        <f ca="1">IFERROR(__xludf.DUMMYFUNCTION("IMPORTRANGE(""https://docs.google.com/spreadsheets/d/1WhzDrMlrZfqSjGYJh0xYjRtGVhp5LiCqlO7EaAHfOOk/edit?usp=sharing"",""sheet1!BT6"")"),1324034.32)</f>
        <v>1324034.32</v>
      </c>
      <c r="O741" s="63">
        <f t="shared" ca="1" si="341"/>
        <v>50.729284291187739</v>
      </c>
      <c r="P741" s="684">
        <f t="shared" ca="1" si="342"/>
        <v>50.729284291187739</v>
      </c>
      <c r="Q741" s="480"/>
      <c r="R741" s="480"/>
      <c r="S741" s="480"/>
      <c r="T741" s="480"/>
      <c r="U741" s="480"/>
      <c r="V741" s="480"/>
      <c r="W741" s="480"/>
      <c r="X741" s="480"/>
      <c r="Y741" s="480"/>
      <c r="Z741" s="480"/>
    </row>
    <row r="742" spans="1:26" ht="20.25" customHeight="1">
      <c r="A742" s="808"/>
      <c r="B742" s="504"/>
      <c r="C742" s="600"/>
      <c r="D742" s="574"/>
      <c r="E742" s="600" t="s">
        <v>184</v>
      </c>
      <c r="F742" s="600"/>
      <c r="G742" s="479"/>
      <c r="H742" s="623" t="s">
        <v>12</v>
      </c>
      <c r="I742" s="216"/>
      <c r="J742" s="216"/>
      <c r="K742" s="63"/>
      <c r="L742" s="63">
        <v>0</v>
      </c>
      <c r="M742" s="63">
        <v>0</v>
      </c>
      <c r="N742" s="63">
        <f>N743+N744+N745+N746</f>
        <v>0</v>
      </c>
      <c r="O742" s="63">
        <f t="shared" si="341"/>
        <v>0</v>
      </c>
      <c r="P742" s="684">
        <f t="shared" si="342"/>
        <v>0</v>
      </c>
      <c r="Q742" s="480"/>
      <c r="R742" s="480"/>
      <c r="S742" s="480"/>
      <c r="T742" s="480"/>
      <c r="U742" s="480"/>
      <c r="V742" s="480"/>
      <c r="W742" s="480"/>
      <c r="X742" s="480"/>
      <c r="Y742" s="480"/>
      <c r="Z742" s="480"/>
    </row>
    <row r="743" spans="1:26" ht="20.25" customHeight="1">
      <c r="A743" s="801"/>
      <c r="B743" s="504"/>
      <c r="C743" s="600"/>
      <c r="D743" s="600"/>
      <c r="E743" s="600"/>
      <c r="F743" s="600" t="s">
        <v>185</v>
      </c>
      <c r="G743" s="479"/>
      <c r="H743" s="623" t="s">
        <v>12</v>
      </c>
      <c r="I743" s="216"/>
      <c r="J743" s="216"/>
      <c r="K743" s="63"/>
      <c r="L743" s="63"/>
      <c r="M743" s="63"/>
      <c r="N743" s="63"/>
      <c r="O743" s="63"/>
      <c r="P743" s="684"/>
      <c r="Q743" s="480"/>
      <c r="R743" s="480"/>
      <c r="S743" s="480"/>
      <c r="T743" s="480"/>
      <c r="U743" s="480"/>
      <c r="V743" s="480"/>
      <c r="W743" s="480"/>
      <c r="X743" s="480"/>
      <c r="Y743" s="480"/>
      <c r="Z743" s="480"/>
    </row>
    <row r="744" spans="1:26" ht="20.25" customHeight="1">
      <c r="A744" s="801"/>
      <c r="B744" s="504"/>
      <c r="C744" s="600"/>
      <c r="D744" s="600"/>
      <c r="E744" s="600"/>
      <c r="F744" s="600" t="s">
        <v>186</v>
      </c>
      <c r="G744" s="479"/>
      <c r="H744" s="623" t="s">
        <v>12</v>
      </c>
      <c r="I744" s="216"/>
      <c r="J744" s="216"/>
      <c r="K744" s="63"/>
      <c r="L744" s="63"/>
      <c r="M744" s="63"/>
      <c r="N744" s="63"/>
      <c r="O744" s="63"/>
      <c r="P744" s="684"/>
      <c r="Q744" s="480"/>
      <c r="R744" s="480"/>
      <c r="S744" s="480"/>
      <c r="T744" s="480"/>
      <c r="U744" s="480"/>
      <c r="V744" s="480"/>
      <c r="W744" s="480"/>
      <c r="X744" s="480"/>
      <c r="Y744" s="480"/>
      <c r="Z744" s="480"/>
    </row>
    <row r="745" spans="1:26" ht="20.25" customHeight="1">
      <c r="A745" s="801"/>
      <c r="B745" s="504"/>
      <c r="C745" s="600"/>
      <c r="D745" s="600"/>
      <c r="E745" s="600"/>
      <c r="F745" s="600" t="s">
        <v>187</v>
      </c>
      <c r="G745" s="479"/>
      <c r="H745" s="623" t="s">
        <v>12</v>
      </c>
      <c r="I745" s="216"/>
      <c r="J745" s="216"/>
      <c r="K745" s="63"/>
      <c r="L745" s="63"/>
      <c r="M745" s="63"/>
      <c r="N745" s="63"/>
      <c r="O745" s="63"/>
      <c r="P745" s="684"/>
      <c r="Q745" s="480"/>
      <c r="R745" s="480"/>
      <c r="S745" s="480"/>
      <c r="T745" s="480"/>
      <c r="U745" s="480"/>
      <c r="V745" s="480"/>
      <c r="W745" s="480"/>
      <c r="X745" s="480"/>
      <c r="Y745" s="480"/>
      <c r="Z745" s="480"/>
    </row>
    <row r="746" spans="1:26" ht="20.25" customHeight="1">
      <c r="A746" s="801"/>
      <c r="B746" s="504"/>
      <c r="C746" s="600"/>
      <c r="D746" s="600"/>
      <c r="E746" s="600"/>
      <c r="F746" s="600" t="s">
        <v>188</v>
      </c>
      <c r="G746" s="479"/>
      <c r="H746" s="623" t="s">
        <v>12</v>
      </c>
      <c r="I746" s="216"/>
      <c r="J746" s="216"/>
      <c r="K746" s="63"/>
      <c r="L746" s="63"/>
      <c r="M746" s="63"/>
      <c r="N746" s="63"/>
      <c r="O746" s="63"/>
      <c r="P746" s="684"/>
      <c r="Q746" s="480"/>
      <c r="R746" s="480"/>
      <c r="S746" s="480"/>
      <c r="T746" s="480"/>
      <c r="U746" s="480"/>
      <c r="V746" s="480"/>
      <c r="W746" s="480"/>
      <c r="X746" s="480"/>
      <c r="Y746" s="480"/>
      <c r="Z746" s="480"/>
    </row>
    <row r="747" spans="1:26" ht="20.25" customHeight="1">
      <c r="A747" s="808"/>
      <c r="B747" s="504"/>
      <c r="C747" s="600"/>
      <c r="D747" s="501" t="s">
        <v>19</v>
      </c>
      <c r="E747" s="600"/>
      <c r="F747" s="600"/>
      <c r="G747" s="479"/>
      <c r="H747" s="118" t="s">
        <v>12</v>
      </c>
      <c r="I747" s="128"/>
      <c r="J747" s="128"/>
      <c r="K747" s="117"/>
      <c r="L747" s="23">
        <f t="shared" ref="L747:N747" si="346">L748+L749</f>
        <v>0</v>
      </c>
      <c r="M747" s="23">
        <f t="shared" si="346"/>
        <v>0</v>
      </c>
      <c r="N747" s="23">
        <f t="shared" ca="1" si="346"/>
        <v>0</v>
      </c>
      <c r="O747" s="23">
        <f t="shared" ref="O747:O749" si="347">IF(L747&gt;0,N747*100/L747,0)</f>
        <v>0</v>
      </c>
      <c r="P747" s="682">
        <f t="shared" ref="P747:P749" si="348">IF(M747&gt;0,N747*100/M747,0)</f>
        <v>0</v>
      </c>
      <c r="Q747" s="480"/>
      <c r="R747" s="480"/>
      <c r="S747" s="480"/>
      <c r="T747" s="480"/>
      <c r="U747" s="480"/>
      <c r="V747" s="480"/>
      <c r="W747" s="480"/>
      <c r="X747" s="480"/>
      <c r="Y747" s="480"/>
      <c r="Z747" s="480"/>
    </row>
    <row r="748" spans="1:26" ht="20.25" customHeight="1">
      <c r="A748" s="808"/>
      <c r="B748" s="504"/>
      <c r="C748" s="600"/>
      <c r="D748" s="600"/>
      <c r="E748" s="600" t="s">
        <v>16</v>
      </c>
      <c r="F748" s="600"/>
      <c r="G748" s="479"/>
      <c r="H748" s="623" t="s">
        <v>12</v>
      </c>
      <c r="I748" s="128"/>
      <c r="J748" s="128"/>
      <c r="K748" s="117"/>
      <c r="L748" s="63">
        <v>0</v>
      </c>
      <c r="M748" s="63">
        <v>0</v>
      </c>
      <c r="N748" s="63">
        <f ca="1">IFERROR(__xludf.DUMMYFUNCTION("IMPORTRANGE(""https://docs.google.com/spreadsheets/d/1WhzDrMlrZfqSjGYJh0xYjRtGVhp5LiCqlO7EaAHfOOk/edit?usp=sharing"",""sheet1!BV6"")"),0)</f>
        <v>0</v>
      </c>
      <c r="O748" s="63">
        <f t="shared" si="347"/>
        <v>0</v>
      </c>
      <c r="P748" s="684">
        <f t="shared" si="348"/>
        <v>0</v>
      </c>
      <c r="Q748" s="480"/>
      <c r="R748" s="480"/>
      <c r="S748" s="480"/>
      <c r="T748" s="480"/>
      <c r="U748" s="480"/>
      <c r="V748" s="480"/>
      <c r="W748" s="480"/>
      <c r="X748" s="480"/>
      <c r="Y748" s="480"/>
      <c r="Z748" s="480"/>
    </row>
    <row r="749" spans="1:26" ht="20.25" customHeight="1">
      <c r="A749" s="808"/>
      <c r="B749" s="504"/>
      <c r="C749" s="600"/>
      <c r="D749" s="600"/>
      <c r="E749" s="600" t="s">
        <v>17</v>
      </c>
      <c r="F749" s="600"/>
      <c r="G749" s="479"/>
      <c r="H749" s="119" t="s">
        <v>12</v>
      </c>
      <c r="I749" s="128"/>
      <c r="J749" s="128"/>
      <c r="K749" s="117"/>
      <c r="L749" s="63">
        <v>0</v>
      </c>
      <c r="M749" s="63">
        <v>0</v>
      </c>
      <c r="N749" s="63">
        <v>0</v>
      </c>
      <c r="O749" s="63">
        <f t="shared" si="347"/>
        <v>0</v>
      </c>
      <c r="P749" s="684">
        <f t="shared" si="348"/>
        <v>0</v>
      </c>
      <c r="Q749" s="480"/>
      <c r="R749" s="480"/>
      <c r="S749" s="480"/>
      <c r="T749" s="480"/>
      <c r="U749" s="480"/>
      <c r="V749" s="480"/>
      <c r="W749" s="480"/>
      <c r="X749" s="480"/>
      <c r="Y749" s="480"/>
      <c r="Z749" s="480"/>
    </row>
    <row r="750" spans="1:26" ht="20.25" customHeight="1">
      <c r="A750" s="810"/>
      <c r="B750" s="508"/>
      <c r="C750" s="860" t="s">
        <v>14</v>
      </c>
      <c r="D750" s="597" t="s">
        <v>36</v>
      </c>
      <c r="E750" s="598"/>
      <c r="F750" s="598"/>
      <c r="G750" s="507"/>
      <c r="H750" s="599"/>
      <c r="I750" s="128"/>
      <c r="J750" s="128"/>
      <c r="K750" s="117"/>
      <c r="L750" s="117"/>
      <c r="M750" s="117"/>
      <c r="N750" s="117"/>
      <c r="O750" s="117"/>
      <c r="P750" s="718"/>
      <c r="Q750" s="480"/>
      <c r="R750" s="480"/>
      <c r="S750" s="480"/>
      <c r="T750" s="480"/>
      <c r="U750" s="480"/>
      <c r="V750" s="480"/>
      <c r="W750" s="480"/>
      <c r="X750" s="480"/>
      <c r="Y750" s="480"/>
      <c r="Z750" s="480"/>
    </row>
    <row r="751" spans="1:26" ht="20.25" customHeight="1">
      <c r="A751" s="801"/>
      <c r="B751" s="504"/>
      <c r="C751" s="600"/>
      <c r="D751" s="600"/>
      <c r="E751" s="600" t="s">
        <v>313</v>
      </c>
      <c r="F751" s="600"/>
      <c r="G751" s="479"/>
      <c r="H751" s="623" t="s">
        <v>44</v>
      </c>
      <c r="I751" s="216">
        <v>353000</v>
      </c>
      <c r="J751" s="216">
        <v>274193</v>
      </c>
      <c r="K751" s="63">
        <f>IF(I751&gt;0,J751*100/I751,0)</f>
        <v>77.675070821529744</v>
      </c>
      <c r="L751" s="63"/>
      <c r="M751" s="63"/>
      <c r="N751" s="63"/>
      <c r="O751" s="63"/>
      <c r="P751" s="684"/>
      <c r="Q751" s="480"/>
      <c r="R751" s="480"/>
      <c r="S751" s="480"/>
      <c r="T751" s="480"/>
      <c r="U751" s="480"/>
      <c r="V751" s="480"/>
      <c r="W751" s="480"/>
      <c r="X751" s="480"/>
      <c r="Y751" s="480"/>
      <c r="Z751" s="480"/>
    </row>
    <row r="752" spans="1:26" ht="20.25" hidden="1" customHeight="1">
      <c r="A752" s="801"/>
      <c r="B752" s="504"/>
      <c r="C752" s="600"/>
      <c r="D752" s="600"/>
      <c r="E752" s="600"/>
      <c r="F752" s="600"/>
      <c r="G752" s="479"/>
      <c r="H752" s="623" t="s">
        <v>314</v>
      </c>
      <c r="I752" s="216"/>
      <c r="J752" s="216"/>
      <c r="K752" s="63"/>
      <c r="L752" s="63"/>
      <c r="M752" s="63"/>
      <c r="N752" s="63"/>
      <c r="O752" s="63"/>
      <c r="P752" s="684"/>
      <c r="Q752" s="480"/>
      <c r="R752" s="480"/>
      <c r="S752" s="480"/>
      <c r="T752" s="480"/>
      <c r="U752" s="480"/>
      <c r="V752" s="480"/>
      <c r="W752" s="480"/>
      <c r="X752" s="480"/>
      <c r="Y752" s="480"/>
      <c r="Z752" s="480"/>
    </row>
    <row r="753" spans="1:26" ht="20.25" customHeight="1">
      <c r="A753" s="837">
        <v>10</v>
      </c>
      <c r="B753" s="546" t="s">
        <v>315</v>
      </c>
      <c r="C753" s="535"/>
      <c r="D753" s="535"/>
      <c r="E753" s="535"/>
      <c r="F753" s="535"/>
      <c r="G753" s="536"/>
      <c r="H753" s="547" t="s">
        <v>44</v>
      </c>
      <c r="I753" s="548">
        <f t="shared" ref="I753:J753" si="349">I768</f>
        <v>1000000</v>
      </c>
      <c r="J753" s="548">
        <f t="shared" si="349"/>
        <v>965733</v>
      </c>
      <c r="K753" s="549">
        <f>IF(I753&gt;0,J753*100/I753,0)</f>
        <v>96.573300000000003</v>
      </c>
      <c r="L753" s="538"/>
      <c r="M753" s="538"/>
      <c r="N753" s="538"/>
      <c r="O753" s="538"/>
      <c r="P753" s="816"/>
      <c r="Q753" s="480"/>
      <c r="R753" s="480"/>
      <c r="S753" s="480"/>
      <c r="T753" s="480"/>
      <c r="U753" s="480"/>
      <c r="V753" s="480"/>
      <c r="W753" s="480"/>
      <c r="X753" s="480"/>
      <c r="Y753" s="480"/>
      <c r="Z753" s="480"/>
    </row>
    <row r="754" spans="1:26" ht="20.25" customHeight="1">
      <c r="A754" s="808"/>
      <c r="B754" s="600"/>
      <c r="C754" s="860" t="s">
        <v>14</v>
      </c>
      <c r="D754" s="861" t="s">
        <v>15</v>
      </c>
      <c r="E754" s="862"/>
      <c r="F754" s="862"/>
      <c r="G754" s="479"/>
      <c r="H754" s="114" t="s">
        <v>12</v>
      </c>
      <c r="I754" s="216"/>
      <c r="J754" s="216"/>
      <c r="K754" s="63"/>
      <c r="L754" s="23">
        <f t="shared" ref="L754:N754" ca="1" si="350">L755+L756</f>
        <v>530000</v>
      </c>
      <c r="M754" s="23">
        <f t="shared" ca="1" si="350"/>
        <v>530000</v>
      </c>
      <c r="N754" s="23">
        <f t="shared" ca="1" si="350"/>
        <v>274739.20000000001</v>
      </c>
      <c r="O754" s="23">
        <f t="shared" ref="O754:O759" ca="1" si="351">IF(L754&gt;0,N754*100/L754,0)</f>
        <v>51.837584905660378</v>
      </c>
      <c r="P754" s="682">
        <f t="shared" ref="P754:P759" ca="1" si="352">IF(M754&gt;0,N754*100/M754,0)</f>
        <v>51.837584905660378</v>
      </c>
      <c r="Q754" s="480"/>
      <c r="R754" s="480"/>
      <c r="S754" s="480"/>
      <c r="T754" s="480"/>
      <c r="U754" s="480"/>
      <c r="V754" s="480"/>
      <c r="W754" s="480"/>
      <c r="X754" s="480"/>
      <c r="Y754" s="480"/>
      <c r="Z754" s="480"/>
    </row>
    <row r="755" spans="1:26" ht="20.25" customHeight="1">
      <c r="A755" s="808"/>
      <c r="B755" s="600"/>
      <c r="C755" s="600"/>
      <c r="D755" s="574"/>
      <c r="E755" s="600" t="s">
        <v>183</v>
      </c>
      <c r="F755" s="600"/>
      <c r="G755" s="479"/>
      <c r="H755" s="623" t="s">
        <v>12</v>
      </c>
      <c r="I755" s="216"/>
      <c r="J755" s="216"/>
      <c r="K755" s="63"/>
      <c r="L755" s="63">
        <f t="shared" ref="L755:N755" ca="1" si="353">L758+L765</f>
        <v>530000</v>
      </c>
      <c r="M755" s="63">
        <f t="shared" ca="1" si="353"/>
        <v>530000</v>
      </c>
      <c r="N755" s="63">
        <f t="shared" ca="1" si="353"/>
        <v>274739.20000000001</v>
      </c>
      <c r="O755" s="63">
        <f t="shared" ca="1" si="351"/>
        <v>51.837584905660378</v>
      </c>
      <c r="P755" s="684">
        <f t="shared" ca="1" si="352"/>
        <v>51.837584905660378</v>
      </c>
      <c r="Q755" s="480"/>
      <c r="R755" s="480"/>
      <c r="S755" s="480"/>
      <c r="T755" s="480"/>
      <c r="U755" s="480"/>
      <c r="V755" s="480"/>
      <c r="W755" s="480"/>
      <c r="X755" s="480"/>
      <c r="Y755" s="480"/>
      <c r="Z755" s="480"/>
    </row>
    <row r="756" spans="1:26" ht="20.25" customHeight="1">
      <c r="A756" s="808"/>
      <c r="B756" s="504"/>
      <c r="C756" s="600"/>
      <c r="D756" s="574"/>
      <c r="E756" s="600" t="s">
        <v>184</v>
      </c>
      <c r="F756" s="600"/>
      <c r="G756" s="479"/>
      <c r="H756" s="623" t="s">
        <v>12</v>
      </c>
      <c r="I756" s="216"/>
      <c r="J756" s="216"/>
      <c r="K756" s="63"/>
      <c r="L756" s="63">
        <f t="shared" ref="L756:N756" si="354">L759+L766</f>
        <v>0</v>
      </c>
      <c r="M756" s="63">
        <f t="shared" si="354"/>
        <v>0</v>
      </c>
      <c r="N756" s="63">
        <f t="shared" si="354"/>
        <v>0</v>
      </c>
      <c r="O756" s="63">
        <f t="shared" si="351"/>
        <v>0</v>
      </c>
      <c r="P756" s="684">
        <f t="shared" si="352"/>
        <v>0</v>
      </c>
      <c r="Q756" s="480"/>
      <c r="R756" s="480"/>
      <c r="S756" s="480"/>
      <c r="T756" s="480"/>
      <c r="U756" s="480"/>
      <c r="V756" s="480"/>
      <c r="W756" s="480"/>
      <c r="X756" s="480"/>
      <c r="Y756" s="480"/>
      <c r="Z756" s="480"/>
    </row>
    <row r="757" spans="1:26" ht="20.25" customHeight="1">
      <c r="A757" s="808"/>
      <c r="B757" s="504"/>
      <c r="C757" s="600"/>
      <c r="D757" s="501" t="s">
        <v>18</v>
      </c>
      <c r="E757" s="600"/>
      <c r="F757" s="600"/>
      <c r="G757" s="479"/>
      <c r="H757" s="114" t="s">
        <v>12</v>
      </c>
      <c r="I757" s="128"/>
      <c r="J757" s="128"/>
      <c r="K757" s="117"/>
      <c r="L757" s="23">
        <f t="shared" ref="L757:N757" ca="1" si="355">L758+L759</f>
        <v>530000</v>
      </c>
      <c r="M757" s="23">
        <f t="shared" ca="1" si="355"/>
        <v>530000</v>
      </c>
      <c r="N757" s="23">
        <f t="shared" ca="1" si="355"/>
        <v>274739.20000000001</v>
      </c>
      <c r="O757" s="23">
        <f t="shared" ca="1" si="351"/>
        <v>51.837584905660378</v>
      </c>
      <c r="P757" s="682">
        <f t="shared" ca="1" si="352"/>
        <v>51.837584905660378</v>
      </c>
      <c r="Q757" s="480"/>
      <c r="R757" s="480"/>
      <c r="S757" s="480"/>
      <c r="T757" s="480"/>
      <c r="U757" s="480"/>
      <c r="V757" s="480"/>
      <c r="W757" s="480"/>
      <c r="X757" s="480"/>
      <c r="Y757" s="480"/>
      <c r="Z757" s="480"/>
    </row>
    <row r="758" spans="1:26" ht="20.25" customHeight="1">
      <c r="A758" s="808"/>
      <c r="B758" s="504"/>
      <c r="C758" s="600"/>
      <c r="D758" s="574"/>
      <c r="E758" s="600" t="s">
        <v>183</v>
      </c>
      <c r="F758" s="600"/>
      <c r="G758" s="479"/>
      <c r="H758" s="623" t="s">
        <v>12</v>
      </c>
      <c r="I758" s="216"/>
      <c r="J758" s="216"/>
      <c r="K758" s="63"/>
      <c r="L758" s="63">
        <f ca="1">IFERROR(__xludf.DUMMYFUNCTION("IMPORTRANGE(""https://docs.google.com/spreadsheets/d/1QqKyyYR6Q21VydFLVH3TRQUabQu_ym0Zz7PgGX0-kHA/edit?usp=sharing"",""แผน!IX11"")"),530000)</f>
        <v>530000</v>
      </c>
      <c r="M758" s="63">
        <f ca="1">L758</f>
        <v>530000</v>
      </c>
      <c r="N758" s="63">
        <f ca="1">IFERROR(__xludf.DUMMYFUNCTION("IMPORTRANGE(""https://docs.google.com/spreadsheets/d/1WhzDrMlrZfqSjGYJh0xYjRtGVhp5LiCqlO7EaAHfOOk/edit?usp=sharing"",""sheet1!CA6"")"),274739.2)</f>
        <v>274739.20000000001</v>
      </c>
      <c r="O758" s="63">
        <f t="shared" ca="1" si="351"/>
        <v>51.837584905660378</v>
      </c>
      <c r="P758" s="684">
        <f t="shared" ca="1" si="352"/>
        <v>51.837584905660378</v>
      </c>
      <c r="Q758" s="480"/>
      <c r="R758" s="480"/>
      <c r="S758" s="480"/>
      <c r="T758" s="480"/>
      <c r="U758" s="480"/>
      <c r="V758" s="480"/>
      <c r="W758" s="480"/>
      <c r="X758" s="480"/>
      <c r="Y758" s="480"/>
      <c r="Z758" s="480"/>
    </row>
    <row r="759" spans="1:26" ht="20.25" customHeight="1">
      <c r="A759" s="808"/>
      <c r="B759" s="504"/>
      <c r="C759" s="600"/>
      <c r="D759" s="574"/>
      <c r="E759" s="600" t="s">
        <v>184</v>
      </c>
      <c r="F759" s="600"/>
      <c r="G759" s="479"/>
      <c r="H759" s="623" t="s">
        <v>12</v>
      </c>
      <c r="I759" s="216"/>
      <c r="J759" s="216"/>
      <c r="K759" s="63"/>
      <c r="L759" s="63">
        <v>0</v>
      </c>
      <c r="M759" s="63">
        <v>0</v>
      </c>
      <c r="N759" s="63">
        <f>N760+N761+N762+N763</f>
        <v>0</v>
      </c>
      <c r="O759" s="63">
        <f t="shared" si="351"/>
        <v>0</v>
      </c>
      <c r="P759" s="684">
        <f t="shared" si="352"/>
        <v>0</v>
      </c>
      <c r="Q759" s="480"/>
      <c r="R759" s="480"/>
      <c r="S759" s="480"/>
      <c r="T759" s="480"/>
      <c r="U759" s="480"/>
      <c r="V759" s="480"/>
      <c r="W759" s="480"/>
      <c r="X759" s="480"/>
      <c r="Y759" s="480"/>
      <c r="Z759" s="480"/>
    </row>
    <row r="760" spans="1:26" ht="20.25" customHeight="1">
      <c r="A760" s="801"/>
      <c r="B760" s="504"/>
      <c r="C760" s="600"/>
      <c r="D760" s="600"/>
      <c r="E760" s="600"/>
      <c r="F760" s="600" t="s">
        <v>185</v>
      </c>
      <c r="G760" s="479"/>
      <c r="H760" s="623" t="s">
        <v>12</v>
      </c>
      <c r="I760" s="216"/>
      <c r="J760" s="216"/>
      <c r="K760" s="63"/>
      <c r="L760" s="63"/>
      <c r="M760" s="63"/>
      <c r="N760" s="63"/>
      <c r="O760" s="63"/>
      <c r="P760" s="684"/>
      <c r="Q760" s="480"/>
      <c r="R760" s="480"/>
      <c r="S760" s="480"/>
      <c r="T760" s="480"/>
      <c r="U760" s="480"/>
      <c r="V760" s="480"/>
      <c r="W760" s="480"/>
      <c r="X760" s="480"/>
      <c r="Y760" s="480"/>
      <c r="Z760" s="480"/>
    </row>
    <row r="761" spans="1:26" ht="20.25" customHeight="1">
      <c r="A761" s="801"/>
      <c r="B761" s="504"/>
      <c r="C761" s="600"/>
      <c r="D761" s="600"/>
      <c r="E761" s="600"/>
      <c r="F761" s="600" t="s">
        <v>186</v>
      </c>
      <c r="G761" s="479"/>
      <c r="H761" s="623" t="s">
        <v>12</v>
      </c>
      <c r="I761" s="216"/>
      <c r="J761" s="216"/>
      <c r="K761" s="63"/>
      <c r="L761" s="63"/>
      <c r="M761" s="63"/>
      <c r="N761" s="63"/>
      <c r="O761" s="63"/>
      <c r="P761" s="684"/>
      <c r="Q761" s="480"/>
      <c r="R761" s="480"/>
      <c r="S761" s="480"/>
      <c r="T761" s="480"/>
      <c r="U761" s="480"/>
      <c r="V761" s="480"/>
      <c r="W761" s="480"/>
      <c r="X761" s="480"/>
      <c r="Y761" s="480"/>
      <c r="Z761" s="480"/>
    </row>
    <row r="762" spans="1:26" ht="20.25" customHeight="1">
      <c r="A762" s="801"/>
      <c r="B762" s="504"/>
      <c r="C762" s="600"/>
      <c r="D762" s="600"/>
      <c r="E762" s="600"/>
      <c r="F762" s="600" t="s">
        <v>187</v>
      </c>
      <c r="G762" s="479"/>
      <c r="H762" s="623" t="s">
        <v>12</v>
      </c>
      <c r="I762" s="216"/>
      <c r="J762" s="216"/>
      <c r="K762" s="63"/>
      <c r="L762" s="63"/>
      <c r="M762" s="63"/>
      <c r="N762" s="63"/>
      <c r="O762" s="63"/>
      <c r="P762" s="684"/>
      <c r="Q762" s="480"/>
      <c r="R762" s="480"/>
      <c r="S762" s="480"/>
      <c r="T762" s="480"/>
      <c r="U762" s="480"/>
      <c r="V762" s="480"/>
      <c r="W762" s="480"/>
      <c r="X762" s="480"/>
      <c r="Y762" s="480"/>
      <c r="Z762" s="480"/>
    </row>
    <row r="763" spans="1:26" ht="20.25" customHeight="1">
      <c r="A763" s="801"/>
      <c r="B763" s="504"/>
      <c r="C763" s="600"/>
      <c r="D763" s="600"/>
      <c r="E763" s="600"/>
      <c r="F763" s="600" t="s">
        <v>188</v>
      </c>
      <c r="G763" s="479"/>
      <c r="H763" s="623" t="s">
        <v>12</v>
      </c>
      <c r="I763" s="216"/>
      <c r="J763" s="216"/>
      <c r="K763" s="63"/>
      <c r="L763" s="63"/>
      <c r="M763" s="63"/>
      <c r="N763" s="63"/>
      <c r="O763" s="63"/>
      <c r="P763" s="684"/>
      <c r="Q763" s="480"/>
      <c r="R763" s="480"/>
      <c r="S763" s="480"/>
      <c r="T763" s="480"/>
      <c r="U763" s="480"/>
      <c r="V763" s="480"/>
      <c r="W763" s="480"/>
      <c r="X763" s="480"/>
      <c r="Y763" s="480"/>
      <c r="Z763" s="480"/>
    </row>
    <row r="764" spans="1:26" ht="20.25" customHeight="1">
      <c r="A764" s="808"/>
      <c r="B764" s="504"/>
      <c r="C764" s="600"/>
      <c r="D764" s="501" t="s">
        <v>19</v>
      </c>
      <c r="E764" s="600"/>
      <c r="F764" s="600"/>
      <c r="G764" s="479"/>
      <c r="H764" s="118" t="s">
        <v>12</v>
      </c>
      <c r="I764" s="128"/>
      <c r="J764" s="128"/>
      <c r="K764" s="117"/>
      <c r="L764" s="23">
        <f t="shared" ref="L764:N764" si="356">L765+L766</f>
        <v>0</v>
      </c>
      <c r="M764" s="23">
        <f t="shared" si="356"/>
        <v>0</v>
      </c>
      <c r="N764" s="23">
        <f t="shared" ca="1" si="356"/>
        <v>0</v>
      </c>
      <c r="O764" s="23">
        <f t="shared" ref="O764:O766" si="357">IF(L764&gt;0,N764*100/L764,0)</f>
        <v>0</v>
      </c>
      <c r="P764" s="682">
        <f t="shared" ref="P764:P766" si="358">IF(M764&gt;0,N764*100/M764,0)</f>
        <v>0</v>
      </c>
      <c r="Q764" s="480"/>
      <c r="R764" s="480"/>
      <c r="S764" s="480"/>
      <c r="T764" s="480"/>
      <c r="U764" s="480"/>
      <c r="V764" s="480"/>
      <c r="W764" s="480"/>
      <c r="X764" s="480"/>
      <c r="Y764" s="480"/>
      <c r="Z764" s="480"/>
    </row>
    <row r="765" spans="1:26" ht="20.25" customHeight="1">
      <c r="A765" s="808"/>
      <c r="B765" s="504"/>
      <c r="C765" s="600"/>
      <c r="D765" s="600"/>
      <c r="E765" s="600" t="s">
        <v>16</v>
      </c>
      <c r="F765" s="600"/>
      <c r="G765" s="479"/>
      <c r="H765" s="623" t="s">
        <v>12</v>
      </c>
      <c r="I765" s="128"/>
      <c r="J765" s="128"/>
      <c r="K765" s="117"/>
      <c r="L765" s="63">
        <v>0</v>
      </c>
      <c r="M765" s="63">
        <v>0</v>
      </c>
      <c r="N765" s="63">
        <f ca="1">IFERROR(__xludf.DUMMYFUNCTION("IMPORTRANGE(""https://docs.google.com/spreadsheets/d/1WhzDrMlrZfqSjGYJh0xYjRtGVhp5LiCqlO7EaAHfOOk/edit?usp=sharing"",""sheet1!CC6"")"),0)</f>
        <v>0</v>
      </c>
      <c r="O765" s="63">
        <f t="shared" si="357"/>
        <v>0</v>
      </c>
      <c r="P765" s="684">
        <f t="shared" si="358"/>
        <v>0</v>
      </c>
      <c r="Q765" s="480"/>
      <c r="R765" s="480"/>
      <c r="S765" s="480"/>
      <c r="T765" s="480"/>
      <c r="U765" s="480"/>
      <c r="V765" s="480"/>
      <c r="W765" s="480"/>
      <c r="X765" s="480"/>
      <c r="Y765" s="480"/>
      <c r="Z765" s="480"/>
    </row>
    <row r="766" spans="1:26" ht="20.25" customHeight="1">
      <c r="A766" s="808"/>
      <c r="B766" s="504"/>
      <c r="C766" s="600"/>
      <c r="D766" s="600"/>
      <c r="E766" s="600" t="s">
        <v>17</v>
      </c>
      <c r="F766" s="600"/>
      <c r="G766" s="479"/>
      <c r="H766" s="119" t="s">
        <v>12</v>
      </c>
      <c r="I766" s="128"/>
      <c r="J766" s="128"/>
      <c r="K766" s="117"/>
      <c r="L766" s="63">
        <v>0</v>
      </c>
      <c r="M766" s="63">
        <v>0</v>
      </c>
      <c r="N766" s="63">
        <v>0</v>
      </c>
      <c r="O766" s="63">
        <f t="shared" si="357"/>
        <v>0</v>
      </c>
      <c r="P766" s="684">
        <f t="shared" si="358"/>
        <v>0</v>
      </c>
      <c r="Q766" s="480"/>
      <c r="R766" s="480"/>
      <c r="S766" s="480"/>
      <c r="T766" s="480"/>
      <c r="U766" s="480"/>
      <c r="V766" s="480"/>
      <c r="W766" s="480"/>
      <c r="X766" s="480"/>
      <c r="Y766" s="480"/>
      <c r="Z766" s="480"/>
    </row>
    <row r="767" spans="1:26" ht="20.25" customHeight="1">
      <c r="A767" s="810"/>
      <c r="B767" s="508"/>
      <c r="C767" s="860" t="s">
        <v>14</v>
      </c>
      <c r="D767" s="597" t="s">
        <v>36</v>
      </c>
      <c r="E767" s="598"/>
      <c r="F767" s="598"/>
      <c r="G767" s="507"/>
      <c r="H767" s="599"/>
      <c r="I767" s="128"/>
      <c r="J767" s="128"/>
      <c r="K767" s="117"/>
      <c r="L767" s="117"/>
      <c r="M767" s="117"/>
      <c r="N767" s="117"/>
      <c r="O767" s="117"/>
      <c r="P767" s="718"/>
      <c r="Q767" s="480"/>
      <c r="R767" s="480"/>
      <c r="S767" s="480"/>
      <c r="T767" s="480"/>
      <c r="U767" s="480"/>
      <c r="V767" s="480"/>
      <c r="W767" s="480"/>
      <c r="X767" s="480"/>
      <c r="Y767" s="480"/>
      <c r="Z767" s="480"/>
    </row>
    <row r="768" spans="1:26" ht="20.25" customHeight="1">
      <c r="A768" s="801"/>
      <c r="B768" s="504"/>
      <c r="C768" s="600"/>
      <c r="D768" s="600"/>
      <c r="E768" s="600" t="s">
        <v>316</v>
      </c>
      <c r="F768" s="600"/>
      <c r="G768" s="479"/>
      <c r="H768" s="623" t="s">
        <v>44</v>
      </c>
      <c r="I768" s="216">
        <v>1000000</v>
      </c>
      <c r="J768" s="216">
        <v>965733</v>
      </c>
      <c r="K768" s="63">
        <f t="shared" ref="K768:K769" si="359">IF(I768&gt;0,J768*100/I768,0)</f>
        <v>96.573300000000003</v>
      </c>
      <c r="L768" s="63"/>
      <c r="M768" s="63"/>
      <c r="N768" s="63"/>
      <c r="O768" s="63"/>
      <c r="P768" s="684"/>
      <c r="Q768" s="480"/>
      <c r="R768" s="480"/>
      <c r="S768" s="480"/>
      <c r="T768" s="480"/>
      <c r="U768" s="480"/>
      <c r="V768" s="480"/>
      <c r="W768" s="480"/>
      <c r="X768" s="480"/>
      <c r="Y768" s="480"/>
      <c r="Z768" s="480"/>
    </row>
    <row r="769" spans="1:26" ht="20.25" customHeight="1">
      <c r="A769" s="838">
        <v>11</v>
      </c>
      <c r="B769" s="612" t="s">
        <v>317</v>
      </c>
      <c r="C769" s="613"/>
      <c r="D769" s="613"/>
      <c r="E769" s="613"/>
      <c r="F769" s="613"/>
      <c r="G769" s="614"/>
      <c r="H769" s="615" t="s">
        <v>44</v>
      </c>
      <c r="I769" s="616">
        <f t="shared" ref="I769:J769" si="360">I784</f>
        <v>360000</v>
      </c>
      <c r="J769" s="616">
        <f t="shared" si="360"/>
        <v>362500</v>
      </c>
      <c r="K769" s="617">
        <f t="shared" si="359"/>
        <v>100.69444444444444</v>
      </c>
      <c r="L769" s="618"/>
      <c r="M769" s="618"/>
      <c r="N769" s="618"/>
      <c r="O769" s="618"/>
      <c r="P769" s="839"/>
      <c r="Q769" s="480"/>
      <c r="R769" s="480"/>
      <c r="S769" s="480"/>
      <c r="T769" s="480"/>
      <c r="U769" s="480"/>
      <c r="V769" s="480"/>
      <c r="W769" s="480"/>
      <c r="X769" s="480"/>
      <c r="Y769" s="480"/>
      <c r="Z769" s="480"/>
    </row>
    <row r="770" spans="1:26" ht="20.25" customHeight="1">
      <c r="A770" s="808"/>
      <c r="B770" s="600"/>
      <c r="C770" s="860" t="s">
        <v>14</v>
      </c>
      <c r="D770" s="861" t="s">
        <v>15</v>
      </c>
      <c r="E770" s="862"/>
      <c r="F770" s="862"/>
      <c r="G770" s="479"/>
      <c r="H770" s="114" t="s">
        <v>12</v>
      </c>
      <c r="I770" s="216"/>
      <c r="J770" s="216"/>
      <c r="K770" s="63"/>
      <c r="L770" s="23">
        <f t="shared" ref="L770:N770" ca="1" si="361">L771+L772</f>
        <v>452700</v>
      </c>
      <c r="M770" s="23">
        <f t="shared" ca="1" si="361"/>
        <v>452700</v>
      </c>
      <c r="N770" s="23">
        <f t="shared" ca="1" si="361"/>
        <v>448528.2</v>
      </c>
      <c r="O770" s="23">
        <f t="shared" ref="O770:O775" ca="1" si="362">IF(L770&gt;0,N770*100/L770,0)</f>
        <v>99.078462557985418</v>
      </c>
      <c r="P770" s="682">
        <f t="shared" ref="P770:P775" ca="1" si="363">IF(M770&gt;0,N770*100/M770,0)</f>
        <v>99.078462557985418</v>
      </c>
      <c r="Q770" s="480"/>
      <c r="R770" s="480"/>
      <c r="S770" s="480"/>
      <c r="T770" s="480"/>
      <c r="U770" s="480"/>
      <c r="V770" s="480"/>
      <c r="W770" s="480"/>
      <c r="X770" s="480"/>
      <c r="Y770" s="480"/>
      <c r="Z770" s="480"/>
    </row>
    <row r="771" spans="1:26" ht="20.25" customHeight="1">
      <c r="A771" s="808"/>
      <c r="B771" s="600"/>
      <c r="C771" s="600"/>
      <c r="D771" s="574"/>
      <c r="E771" s="600" t="s">
        <v>183</v>
      </c>
      <c r="F771" s="600"/>
      <c r="G771" s="479"/>
      <c r="H771" s="623" t="s">
        <v>12</v>
      </c>
      <c r="I771" s="216"/>
      <c r="J771" s="216"/>
      <c r="K771" s="63"/>
      <c r="L771" s="63">
        <f t="shared" ref="L771:N771" ca="1" si="364">L774+L781</f>
        <v>452700</v>
      </c>
      <c r="M771" s="63">
        <f t="shared" ca="1" si="364"/>
        <v>452700</v>
      </c>
      <c r="N771" s="63">
        <f t="shared" ca="1" si="364"/>
        <v>448528.2</v>
      </c>
      <c r="O771" s="63">
        <f t="shared" ca="1" si="362"/>
        <v>99.078462557985418</v>
      </c>
      <c r="P771" s="684">
        <f t="shared" ca="1" si="363"/>
        <v>99.078462557985418</v>
      </c>
      <c r="Q771" s="480"/>
      <c r="R771" s="480"/>
      <c r="S771" s="480"/>
      <c r="T771" s="480"/>
      <c r="U771" s="480"/>
      <c r="V771" s="480"/>
      <c r="W771" s="480"/>
      <c r="X771" s="480"/>
      <c r="Y771" s="480"/>
      <c r="Z771" s="480"/>
    </row>
    <row r="772" spans="1:26" ht="20.25" customHeight="1">
      <c r="A772" s="808"/>
      <c r="B772" s="504"/>
      <c r="C772" s="600"/>
      <c r="D772" s="574"/>
      <c r="E772" s="600" t="s">
        <v>184</v>
      </c>
      <c r="F772" s="600"/>
      <c r="G772" s="479"/>
      <c r="H772" s="623" t="s">
        <v>12</v>
      </c>
      <c r="I772" s="216"/>
      <c r="J772" s="216"/>
      <c r="K772" s="63"/>
      <c r="L772" s="63">
        <f t="shared" ref="L772:N772" si="365">L775+L782</f>
        <v>0</v>
      </c>
      <c r="M772" s="63">
        <f t="shared" si="365"/>
        <v>0</v>
      </c>
      <c r="N772" s="63">
        <f t="shared" si="365"/>
        <v>0</v>
      </c>
      <c r="O772" s="63">
        <f t="shared" si="362"/>
        <v>0</v>
      </c>
      <c r="P772" s="684">
        <f t="shared" si="363"/>
        <v>0</v>
      </c>
      <c r="Q772" s="480"/>
      <c r="R772" s="480"/>
      <c r="S772" s="480"/>
      <c r="T772" s="480"/>
      <c r="U772" s="480"/>
      <c r="V772" s="480"/>
      <c r="W772" s="480"/>
      <c r="X772" s="480"/>
      <c r="Y772" s="480"/>
      <c r="Z772" s="480"/>
    </row>
    <row r="773" spans="1:26" ht="20.25" customHeight="1">
      <c r="A773" s="808"/>
      <c r="B773" s="504"/>
      <c r="C773" s="600"/>
      <c r="D773" s="501" t="s">
        <v>18</v>
      </c>
      <c r="E773" s="600"/>
      <c r="F773" s="600"/>
      <c r="G773" s="479"/>
      <c r="H773" s="114" t="s">
        <v>12</v>
      </c>
      <c r="I773" s="128"/>
      <c r="J773" s="128"/>
      <c r="K773" s="117"/>
      <c r="L773" s="23">
        <f t="shared" ref="L773:N773" ca="1" si="366">L774+L775</f>
        <v>452700</v>
      </c>
      <c r="M773" s="23">
        <f t="shared" ca="1" si="366"/>
        <v>452700</v>
      </c>
      <c r="N773" s="23">
        <f t="shared" ca="1" si="366"/>
        <v>448528.2</v>
      </c>
      <c r="O773" s="23">
        <f t="shared" ca="1" si="362"/>
        <v>99.078462557985418</v>
      </c>
      <c r="P773" s="682">
        <f t="shared" ca="1" si="363"/>
        <v>99.078462557985418</v>
      </c>
      <c r="Q773" s="480"/>
      <c r="R773" s="480"/>
      <c r="S773" s="480"/>
      <c r="T773" s="480"/>
      <c r="U773" s="480"/>
      <c r="V773" s="480"/>
      <c r="W773" s="480"/>
      <c r="X773" s="480"/>
      <c r="Y773" s="480"/>
      <c r="Z773" s="480"/>
    </row>
    <row r="774" spans="1:26" ht="20.25" customHeight="1">
      <c r="A774" s="808"/>
      <c r="B774" s="504"/>
      <c r="C774" s="600"/>
      <c r="D774" s="574"/>
      <c r="E774" s="600" t="s">
        <v>183</v>
      </c>
      <c r="F774" s="600"/>
      <c r="G774" s="479"/>
      <c r="H774" s="623" t="s">
        <v>12</v>
      </c>
      <c r="I774" s="216"/>
      <c r="J774" s="216"/>
      <c r="K774" s="63"/>
      <c r="L774" s="63">
        <f ca="1">IFERROR(__xludf.DUMMYFUNCTION("IMPORTRANGE(""https://docs.google.com/spreadsheets/d/1QqKyyYR6Q21VydFLVH3TRQUabQu_ym0Zz7PgGX0-kHA/edit?usp=sharing"",""แผน!JD11"")"),452700)</f>
        <v>452700</v>
      </c>
      <c r="M774" s="63">
        <f ca="1">L774</f>
        <v>452700</v>
      </c>
      <c r="N774" s="63">
        <f ca="1">IFERROR(__xludf.DUMMYFUNCTION("IMPORTRANGE(""https://docs.google.com/spreadsheets/d/1WhzDrMlrZfqSjGYJh0xYjRtGVhp5LiCqlO7EaAHfOOk/edit?usp=sharing"",""sheet1!CH6"")"),448528.2)</f>
        <v>448528.2</v>
      </c>
      <c r="O774" s="63">
        <f t="shared" ca="1" si="362"/>
        <v>99.078462557985418</v>
      </c>
      <c r="P774" s="684">
        <f t="shared" ca="1" si="363"/>
        <v>99.078462557985418</v>
      </c>
      <c r="Q774" s="480"/>
      <c r="R774" s="480"/>
      <c r="S774" s="480"/>
      <c r="T774" s="480"/>
      <c r="U774" s="480"/>
      <c r="V774" s="480"/>
      <c r="W774" s="480"/>
      <c r="X774" s="480"/>
      <c r="Y774" s="480"/>
      <c r="Z774" s="480"/>
    </row>
    <row r="775" spans="1:26" ht="20.25" customHeight="1">
      <c r="A775" s="808"/>
      <c r="B775" s="504"/>
      <c r="C775" s="600"/>
      <c r="D775" s="574"/>
      <c r="E775" s="600" t="s">
        <v>184</v>
      </c>
      <c r="F775" s="600"/>
      <c r="G775" s="479"/>
      <c r="H775" s="623" t="s">
        <v>12</v>
      </c>
      <c r="I775" s="216"/>
      <c r="J775" s="216"/>
      <c r="K775" s="63"/>
      <c r="L775" s="63">
        <v>0</v>
      </c>
      <c r="M775" s="63">
        <v>0</v>
      </c>
      <c r="N775" s="63">
        <f>N776+N777+N778+N779</f>
        <v>0</v>
      </c>
      <c r="O775" s="63">
        <f t="shared" si="362"/>
        <v>0</v>
      </c>
      <c r="P775" s="684">
        <f t="shared" si="363"/>
        <v>0</v>
      </c>
      <c r="Q775" s="480"/>
      <c r="R775" s="480"/>
      <c r="S775" s="480"/>
      <c r="T775" s="480"/>
      <c r="U775" s="480"/>
      <c r="V775" s="480"/>
      <c r="W775" s="480"/>
      <c r="X775" s="480"/>
      <c r="Y775" s="480"/>
      <c r="Z775" s="480"/>
    </row>
    <row r="776" spans="1:26" ht="20.25" customHeight="1">
      <c r="A776" s="801"/>
      <c r="B776" s="504"/>
      <c r="C776" s="600"/>
      <c r="D776" s="600"/>
      <c r="E776" s="600"/>
      <c r="F776" s="600" t="s">
        <v>185</v>
      </c>
      <c r="G776" s="479"/>
      <c r="H776" s="623" t="s">
        <v>12</v>
      </c>
      <c r="I776" s="216"/>
      <c r="J776" s="216"/>
      <c r="K776" s="63"/>
      <c r="L776" s="63"/>
      <c r="M776" s="63"/>
      <c r="N776" s="63"/>
      <c r="O776" s="63"/>
      <c r="P776" s="684"/>
      <c r="Q776" s="480"/>
      <c r="R776" s="480"/>
      <c r="S776" s="480"/>
      <c r="T776" s="480"/>
      <c r="U776" s="480"/>
      <c r="V776" s="480"/>
      <c r="W776" s="480"/>
      <c r="X776" s="480"/>
      <c r="Y776" s="480"/>
      <c r="Z776" s="480"/>
    </row>
    <row r="777" spans="1:26" ht="20.25" customHeight="1">
      <c r="A777" s="801"/>
      <c r="B777" s="504"/>
      <c r="C777" s="600"/>
      <c r="D777" s="600"/>
      <c r="E777" s="600"/>
      <c r="F777" s="600" t="s">
        <v>186</v>
      </c>
      <c r="G777" s="479"/>
      <c r="H777" s="623" t="s">
        <v>12</v>
      </c>
      <c r="I777" s="216"/>
      <c r="J777" s="216"/>
      <c r="K777" s="63"/>
      <c r="L777" s="63"/>
      <c r="M777" s="63"/>
      <c r="N777" s="63"/>
      <c r="O777" s="63"/>
      <c r="P777" s="684"/>
      <c r="Q777" s="480"/>
      <c r="R777" s="480"/>
      <c r="S777" s="480"/>
      <c r="T777" s="480"/>
      <c r="U777" s="480"/>
      <c r="V777" s="480"/>
      <c r="W777" s="480"/>
      <c r="X777" s="480"/>
      <c r="Y777" s="480"/>
      <c r="Z777" s="480"/>
    </row>
    <row r="778" spans="1:26" ht="20.25" customHeight="1">
      <c r="A778" s="801"/>
      <c r="B778" s="504"/>
      <c r="C778" s="600"/>
      <c r="D778" s="600"/>
      <c r="E778" s="600"/>
      <c r="F778" s="600" t="s">
        <v>187</v>
      </c>
      <c r="G778" s="479"/>
      <c r="H778" s="623" t="s">
        <v>12</v>
      </c>
      <c r="I778" s="216"/>
      <c r="J778" s="216"/>
      <c r="K778" s="63"/>
      <c r="L778" s="63"/>
      <c r="M778" s="63"/>
      <c r="N778" s="63"/>
      <c r="O778" s="63"/>
      <c r="P778" s="684"/>
      <c r="Q778" s="480"/>
      <c r="R778" s="480"/>
      <c r="S778" s="480"/>
      <c r="T778" s="480"/>
      <c r="U778" s="480"/>
      <c r="V778" s="480"/>
      <c r="W778" s="480"/>
      <c r="X778" s="480"/>
      <c r="Y778" s="480"/>
      <c r="Z778" s="480"/>
    </row>
    <row r="779" spans="1:26" ht="20.25" customHeight="1">
      <c r="A779" s="801"/>
      <c r="B779" s="504"/>
      <c r="C779" s="600"/>
      <c r="D779" s="600"/>
      <c r="E779" s="600"/>
      <c r="F779" s="600" t="s">
        <v>188</v>
      </c>
      <c r="G779" s="479"/>
      <c r="H779" s="623" t="s">
        <v>12</v>
      </c>
      <c r="I779" s="216"/>
      <c r="J779" s="216"/>
      <c r="K779" s="63"/>
      <c r="L779" s="63"/>
      <c r="M779" s="63"/>
      <c r="N779" s="63"/>
      <c r="O779" s="63"/>
      <c r="P779" s="684"/>
      <c r="Q779" s="480"/>
      <c r="R779" s="480"/>
      <c r="S779" s="480"/>
      <c r="T779" s="480"/>
      <c r="U779" s="480"/>
      <c r="V779" s="480"/>
      <c r="W779" s="480"/>
      <c r="X779" s="480"/>
      <c r="Y779" s="480"/>
      <c r="Z779" s="480"/>
    </row>
    <row r="780" spans="1:26" ht="20.25" customHeight="1">
      <c r="A780" s="808"/>
      <c r="B780" s="504"/>
      <c r="C780" s="600"/>
      <c r="D780" s="501" t="s">
        <v>19</v>
      </c>
      <c r="E780" s="600"/>
      <c r="F780" s="600"/>
      <c r="G780" s="479"/>
      <c r="H780" s="118" t="s">
        <v>12</v>
      </c>
      <c r="I780" s="128"/>
      <c r="J780" s="128"/>
      <c r="K780" s="117"/>
      <c r="L780" s="23">
        <f t="shared" ref="L780:N780" si="367">L781+L782</f>
        <v>0</v>
      </c>
      <c r="M780" s="23">
        <f t="shared" si="367"/>
        <v>0</v>
      </c>
      <c r="N780" s="23">
        <f t="shared" ca="1" si="367"/>
        <v>0</v>
      </c>
      <c r="O780" s="23">
        <f t="shared" ref="O780:O782" si="368">IF(L780&gt;0,N780*100/L780,0)</f>
        <v>0</v>
      </c>
      <c r="P780" s="682">
        <f t="shared" ref="P780:P782" si="369">IF(M780&gt;0,N780*100/M780,0)</f>
        <v>0</v>
      </c>
      <c r="Q780" s="480"/>
      <c r="R780" s="480"/>
      <c r="S780" s="480"/>
      <c r="T780" s="480"/>
      <c r="U780" s="480"/>
      <c r="V780" s="480"/>
      <c r="W780" s="480"/>
      <c r="X780" s="480"/>
      <c r="Y780" s="480"/>
      <c r="Z780" s="480"/>
    </row>
    <row r="781" spans="1:26" ht="20.25" customHeight="1">
      <c r="A781" s="808"/>
      <c r="B781" s="504"/>
      <c r="C781" s="600"/>
      <c r="D781" s="600"/>
      <c r="E781" s="600" t="s">
        <v>16</v>
      </c>
      <c r="F781" s="600"/>
      <c r="G781" s="479"/>
      <c r="H781" s="623" t="s">
        <v>12</v>
      </c>
      <c r="I781" s="128"/>
      <c r="J781" s="128"/>
      <c r="K781" s="117"/>
      <c r="L781" s="63">
        <v>0</v>
      </c>
      <c r="M781" s="63">
        <v>0</v>
      </c>
      <c r="N781" s="63">
        <f ca="1">IFERROR(__xludf.DUMMYFUNCTION("IMPORTRANGE(""https://docs.google.com/spreadsheets/d/1WhzDrMlrZfqSjGYJh0xYjRtGVhp5LiCqlO7EaAHfOOk/edit?usp=sharing"",""sheet1!CJ6"")"),0)</f>
        <v>0</v>
      </c>
      <c r="O781" s="63">
        <f t="shared" si="368"/>
        <v>0</v>
      </c>
      <c r="P781" s="684">
        <f t="shared" si="369"/>
        <v>0</v>
      </c>
      <c r="Q781" s="480"/>
      <c r="R781" s="480"/>
      <c r="S781" s="480"/>
      <c r="T781" s="480"/>
      <c r="U781" s="480"/>
      <c r="V781" s="480"/>
      <c r="W781" s="480"/>
      <c r="X781" s="480"/>
      <c r="Y781" s="480"/>
      <c r="Z781" s="480"/>
    </row>
    <row r="782" spans="1:26" ht="20.25" customHeight="1">
      <c r="A782" s="808"/>
      <c r="B782" s="504"/>
      <c r="C782" s="600"/>
      <c r="D782" s="600"/>
      <c r="E782" s="600" t="s">
        <v>17</v>
      </c>
      <c r="F782" s="600"/>
      <c r="G782" s="479"/>
      <c r="H782" s="119" t="s">
        <v>12</v>
      </c>
      <c r="I782" s="128"/>
      <c r="J782" s="128"/>
      <c r="K782" s="117"/>
      <c r="L782" s="63">
        <v>0</v>
      </c>
      <c r="M782" s="63">
        <v>0</v>
      </c>
      <c r="N782" s="63">
        <v>0</v>
      </c>
      <c r="O782" s="63">
        <f t="shared" si="368"/>
        <v>0</v>
      </c>
      <c r="P782" s="684">
        <f t="shared" si="369"/>
        <v>0</v>
      </c>
      <c r="Q782" s="480"/>
      <c r="R782" s="480"/>
      <c r="S782" s="480"/>
      <c r="T782" s="480"/>
      <c r="U782" s="480"/>
      <c r="V782" s="480"/>
      <c r="W782" s="480"/>
      <c r="X782" s="480"/>
      <c r="Y782" s="480"/>
      <c r="Z782" s="480"/>
    </row>
    <row r="783" spans="1:26" ht="20.25" customHeight="1">
      <c r="A783" s="810"/>
      <c r="B783" s="508"/>
      <c r="C783" s="860" t="s">
        <v>14</v>
      </c>
      <c r="D783" s="597" t="s">
        <v>36</v>
      </c>
      <c r="E783" s="598"/>
      <c r="F783" s="598"/>
      <c r="G783" s="507"/>
      <c r="H783" s="619"/>
      <c r="I783" s="128"/>
      <c r="J783" s="128"/>
      <c r="K783" s="117"/>
      <c r="L783" s="117"/>
      <c r="M783" s="117"/>
      <c r="N783" s="117"/>
      <c r="O783" s="117"/>
      <c r="P783" s="718"/>
      <c r="Q783" s="480"/>
      <c r="R783" s="480"/>
      <c r="S783" s="480"/>
      <c r="T783" s="480"/>
      <c r="U783" s="480"/>
      <c r="V783" s="480"/>
      <c r="W783" s="480"/>
      <c r="X783" s="480"/>
      <c r="Y783" s="480"/>
      <c r="Z783" s="480"/>
    </row>
    <row r="784" spans="1:26" ht="20.25" customHeight="1">
      <c r="A784" s="801"/>
      <c r="B784" s="504"/>
      <c r="C784" s="600"/>
      <c r="D784" s="600"/>
      <c r="E784" s="600" t="s">
        <v>318</v>
      </c>
      <c r="F784" s="600"/>
      <c r="G784" s="479"/>
      <c r="H784" s="623" t="s">
        <v>44</v>
      </c>
      <c r="I784" s="216">
        <v>360000</v>
      </c>
      <c r="J784" s="216">
        <v>362500</v>
      </c>
      <c r="K784" s="63">
        <f t="shared" ref="K784:K785" si="370">IF(I784&gt;0,J784*100/I784,0)</f>
        <v>100.69444444444444</v>
      </c>
      <c r="L784" s="63"/>
      <c r="M784" s="63"/>
      <c r="N784" s="63"/>
      <c r="O784" s="63"/>
      <c r="P784" s="684"/>
      <c r="Q784" s="480"/>
      <c r="R784" s="480"/>
      <c r="S784" s="480"/>
      <c r="T784" s="480"/>
      <c r="U784" s="480"/>
      <c r="V784" s="480"/>
      <c r="W784" s="480"/>
      <c r="X784" s="480"/>
      <c r="Y784" s="480"/>
      <c r="Z784" s="480"/>
    </row>
    <row r="785" spans="1:26" ht="20.25" customHeight="1">
      <c r="A785" s="838">
        <v>12</v>
      </c>
      <c r="B785" s="620" t="s">
        <v>319</v>
      </c>
      <c r="C785" s="613"/>
      <c r="D785" s="613"/>
      <c r="E785" s="613"/>
      <c r="F785" s="613"/>
      <c r="G785" s="614"/>
      <c r="H785" s="621" t="s">
        <v>44</v>
      </c>
      <c r="I785" s="616">
        <f t="shared" ref="I785:J785" ca="1" si="371">I801+I803</f>
        <v>200000</v>
      </c>
      <c r="J785" s="616">
        <f t="shared" ca="1" si="371"/>
        <v>143732.0675</v>
      </c>
      <c r="K785" s="617">
        <f t="shared" ca="1" si="370"/>
        <v>71.86603375</v>
      </c>
      <c r="L785" s="618"/>
      <c r="M785" s="618"/>
      <c r="N785" s="618"/>
      <c r="O785" s="618"/>
      <c r="P785" s="839"/>
      <c r="Q785" s="480"/>
      <c r="R785" s="480"/>
      <c r="S785" s="480"/>
      <c r="T785" s="480"/>
      <c r="U785" s="480"/>
      <c r="V785" s="480"/>
      <c r="W785" s="480"/>
      <c r="X785" s="480"/>
      <c r="Y785" s="480"/>
      <c r="Z785" s="480"/>
    </row>
    <row r="786" spans="1:26" ht="20.25" customHeight="1">
      <c r="A786" s="808"/>
      <c r="B786" s="504"/>
      <c r="C786" s="860" t="s">
        <v>14</v>
      </c>
      <c r="D786" s="861" t="s">
        <v>15</v>
      </c>
      <c r="E786" s="862"/>
      <c r="F786" s="862"/>
      <c r="G786" s="479"/>
      <c r="H786" s="114" t="s">
        <v>12</v>
      </c>
      <c r="I786" s="216"/>
      <c r="J786" s="216"/>
      <c r="K786" s="63"/>
      <c r="L786" s="23">
        <f t="shared" ref="L786:N786" ca="1" si="372">L787+L788</f>
        <v>26253900</v>
      </c>
      <c r="M786" s="23">
        <f t="shared" ca="1" si="372"/>
        <v>26253900</v>
      </c>
      <c r="N786" s="23">
        <f t="shared" ca="1" si="372"/>
        <v>20513870.84</v>
      </c>
      <c r="O786" s="23">
        <f t="shared" ref="O786:O791" ca="1" si="373">IF(L786&gt;0,N786*100/L786,0)</f>
        <v>78.136470543424025</v>
      </c>
      <c r="P786" s="682">
        <f t="shared" ref="P786:P791" ca="1" si="374">IF(M786&gt;0,N786*100/M786,0)</f>
        <v>78.136470543424025</v>
      </c>
      <c r="Q786" s="480"/>
      <c r="R786" s="480"/>
      <c r="S786" s="480"/>
      <c r="T786" s="480"/>
      <c r="U786" s="480"/>
      <c r="V786" s="480"/>
      <c r="W786" s="480"/>
      <c r="X786" s="480"/>
      <c r="Y786" s="480"/>
      <c r="Z786" s="480"/>
    </row>
    <row r="787" spans="1:26" ht="20.25" customHeight="1">
      <c r="A787" s="808"/>
      <c r="B787" s="504"/>
      <c r="C787" s="600"/>
      <c r="D787" s="574"/>
      <c r="E787" s="600" t="s">
        <v>183</v>
      </c>
      <c r="F787" s="600"/>
      <c r="G787" s="479"/>
      <c r="H787" s="623" t="s">
        <v>12</v>
      </c>
      <c r="I787" s="216"/>
      <c r="J787" s="216"/>
      <c r="K787" s="63"/>
      <c r="L787" s="63">
        <f t="shared" ref="L787:N787" ca="1" si="375">L790+L797</f>
        <v>22094220</v>
      </c>
      <c r="M787" s="63">
        <f t="shared" ca="1" si="375"/>
        <v>22094220</v>
      </c>
      <c r="N787" s="63">
        <f t="shared" ca="1" si="375"/>
        <v>17659881.620000001</v>
      </c>
      <c r="O787" s="63">
        <f t="shared" ca="1" si="373"/>
        <v>79.929871341916581</v>
      </c>
      <c r="P787" s="684">
        <f t="shared" ca="1" si="374"/>
        <v>79.929871341916581</v>
      </c>
      <c r="Q787" s="480"/>
      <c r="R787" s="480"/>
      <c r="S787" s="480"/>
      <c r="T787" s="480"/>
      <c r="U787" s="480"/>
      <c r="V787" s="480"/>
      <c r="W787" s="480"/>
      <c r="X787" s="480"/>
      <c r="Y787" s="480"/>
      <c r="Z787" s="480"/>
    </row>
    <row r="788" spans="1:26" ht="20.25" customHeight="1">
      <c r="A788" s="808"/>
      <c r="B788" s="504"/>
      <c r="C788" s="504"/>
      <c r="D788" s="508"/>
      <c r="E788" s="600" t="s">
        <v>184</v>
      </c>
      <c r="F788" s="600"/>
      <c r="G788" s="479"/>
      <c r="H788" s="623" t="s">
        <v>12</v>
      </c>
      <c r="I788" s="216"/>
      <c r="J788" s="216"/>
      <c r="K788" s="63"/>
      <c r="L788" s="63">
        <f t="shared" ref="L788:N788" ca="1" si="376">L791+L798</f>
        <v>4159680</v>
      </c>
      <c r="M788" s="63">
        <f t="shared" ca="1" si="376"/>
        <v>4159680</v>
      </c>
      <c r="N788" s="63">
        <f t="shared" ca="1" si="376"/>
        <v>2853989.2199999997</v>
      </c>
      <c r="O788" s="63">
        <f t="shared" ca="1" si="373"/>
        <v>68.610787849065318</v>
      </c>
      <c r="P788" s="684">
        <f t="shared" ca="1" si="374"/>
        <v>68.610787849065318</v>
      </c>
      <c r="Q788" s="480"/>
      <c r="R788" s="480"/>
      <c r="S788" s="480"/>
      <c r="T788" s="480"/>
      <c r="U788" s="480"/>
      <c r="V788" s="480"/>
      <c r="W788" s="480"/>
      <c r="X788" s="480"/>
      <c r="Y788" s="480"/>
      <c r="Z788" s="480"/>
    </row>
    <row r="789" spans="1:26" ht="20.25" customHeight="1">
      <c r="A789" s="809"/>
      <c r="B789" s="499"/>
      <c r="C789" s="499"/>
      <c r="D789" s="501" t="s">
        <v>18</v>
      </c>
      <c r="E789" s="500"/>
      <c r="F789" s="500"/>
      <c r="G789" s="502"/>
      <c r="H789" s="114" t="s">
        <v>12</v>
      </c>
      <c r="I789" s="115"/>
      <c r="J789" s="115"/>
      <c r="K789" s="116"/>
      <c r="L789" s="23">
        <f t="shared" ref="L789:N789" ca="1" si="377">L790+L791</f>
        <v>16433900</v>
      </c>
      <c r="M789" s="23">
        <f t="shared" ca="1" si="377"/>
        <v>16433900</v>
      </c>
      <c r="N789" s="23">
        <f t="shared" ca="1" si="377"/>
        <v>10924870.84</v>
      </c>
      <c r="O789" s="23">
        <f t="shared" ca="1" si="373"/>
        <v>66.477651926809827</v>
      </c>
      <c r="P789" s="682">
        <f t="shared" ca="1" si="374"/>
        <v>66.477651926809827</v>
      </c>
      <c r="Q789" s="503"/>
      <c r="R789" s="503"/>
      <c r="S789" s="503"/>
      <c r="T789" s="503"/>
      <c r="U789" s="503"/>
      <c r="V789" s="503"/>
      <c r="W789" s="503"/>
      <c r="X789" s="503"/>
      <c r="Y789" s="503"/>
      <c r="Z789" s="503"/>
    </row>
    <row r="790" spans="1:26" ht="20.25" customHeight="1">
      <c r="A790" s="808"/>
      <c r="B790" s="504"/>
      <c r="C790" s="504"/>
      <c r="D790" s="508"/>
      <c r="E790" s="600" t="s">
        <v>183</v>
      </c>
      <c r="F790" s="600"/>
      <c r="G790" s="479"/>
      <c r="H790" s="623" t="s">
        <v>12</v>
      </c>
      <c r="I790" s="216"/>
      <c r="J790" s="216"/>
      <c r="K790" s="63"/>
      <c r="L790" s="63">
        <f ca="1">IFERROR(__xludf.DUMMYFUNCTION("IMPORTRANGE(""https://docs.google.com/spreadsheets/d/1QqKyyYR6Q21VydFLVH3TRQUabQu_ym0Zz7PgGX0-kHA/edit?usp=sharing"",""แผน!JJ11"")"),12274220)</f>
        <v>12274220</v>
      </c>
      <c r="M790" s="63">
        <f ca="1">L790</f>
        <v>12274220</v>
      </c>
      <c r="N790" s="63">
        <f ca="1">IFERROR(__xludf.DUMMYFUNCTION("IMPORTRANGE(""https://docs.google.com/spreadsheets/d/1WhzDrMlrZfqSjGYJh0xYjRtGVhp5LiCqlO7EaAHfOOk/edit?usp=sharing"",""sheet1!CO6"")"),8070881.62)</f>
        <v>8070881.6200000001</v>
      </c>
      <c r="O790" s="63">
        <f t="shared" ca="1" si="373"/>
        <v>65.754741401082924</v>
      </c>
      <c r="P790" s="684">
        <f t="shared" ca="1" si="374"/>
        <v>65.754741401082924</v>
      </c>
      <c r="Q790" s="480"/>
      <c r="R790" s="480"/>
      <c r="S790" s="480"/>
      <c r="T790" s="480"/>
      <c r="U790" s="480"/>
      <c r="V790" s="480"/>
      <c r="W790" s="480"/>
      <c r="X790" s="480"/>
      <c r="Y790" s="480"/>
      <c r="Z790" s="480"/>
    </row>
    <row r="791" spans="1:26" ht="20.25" customHeight="1">
      <c r="A791" s="808"/>
      <c r="B791" s="504"/>
      <c r="C791" s="504"/>
      <c r="D791" s="508"/>
      <c r="E791" s="600" t="s">
        <v>184</v>
      </c>
      <c r="F791" s="600"/>
      <c r="G791" s="479"/>
      <c r="H791" s="623" t="s">
        <v>12</v>
      </c>
      <c r="I791" s="216"/>
      <c r="J791" s="216"/>
      <c r="K791" s="63"/>
      <c r="L791" s="63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63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63">
        <f ca="1">N792+N793+N794+N795</f>
        <v>2853989.2199999997</v>
      </c>
      <c r="O791" s="63">
        <f t="shared" ca="1" si="373"/>
        <v>68.610787849065318</v>
      </c>
      <c r="P791" s="684">
        <f t="shared" ca="1" si="374"/>
        <v>68.610787849065318</v>
      </c>
      <c r="Q791" s="480"/>
      <c r="R791" s="480"/>
      <c r="S791" s="480"/>
      <c r="T791" s="480"/>
      <c r="U791" s="480"/>
      <c r="V791" s="480"/>
      <c r="W791" s="480"/>
      <c r="X791" s="480"/>
      <c r="Y791" s="480"/>
      <c r="Z791" s="480"/>
    </row>
    <row r="792" spans="1:26" ht="20.25" customHeight="1">
      <c r="A792" s="801"/>
      <c r="B792" s="504"/>
      <c r="C792" s="600"/>
      <c r="D792" s="600"/>
      <c r="E792" s="600"/>
      <c r="F792" s="600" t="s">
        <v>185</v>
      </c>
      <c r="G792" s="479"/>
      <c r="H792" s="623" t="s">
        <v>12</v>
      </c>
      <c r="I792" s="216"/>
      <c r="J792" s="216"/>
      <c r="K792" s="63"/>
      <c r="L792" s="63"/>
      <c r="M792" s="63"/>
      <c r="N792" s="227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63"/>
      <c r="P792" s="684"/>
      <c r="Q792" s="480"/>
      <c r="R792" s="480"/>
      <c r="S792" s="480"/>
      <c r="T792" s="480"/>
      <c r="U792" s="480"/>
      <c r="V792" s="480"/>
      <c r="W792" s="480"/>
      <c r="X792" s="480"/>
      <c r="Y792" s="480"/>
      <c r="Z792" s="480"/>
    </row>
    <row r="793" spans="1:26" ht="20.25" customHeight="1">
      <c r="A793" s="801"/>
      <c r="B793" s="504"/>
      <c r="C793" s="600"/>
      <c r="D793" s="600"/>
      <c r="E793" s="600"/>
      <c r="F793" s="600" t="s">
        <v>186</v>
      </c>
      <c r="G793" s="479"/>
      <c r="H793" s="623" t="s">
        <v>12</v>
      </c>
      <c r="I793" s="216"/>
      <c r="J793" s="216"/>
      <c r="K793" s="63"/>
      <c r="L793" s="63"/>
      <c r="M793" s="63"/>
      <c r="N793" s="227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42000)</f>
        <v>42000</v>
      </c>
      <c r="O793" s="63"/>
      <c r="P793" s="684"/>
      <c r="Q793" s="480"/>
      <c r="R793" s="480"/>
      <c r="S793" s="480"/>
      <c r="T793" s="480"/>
      <c r="U793" s="480"/>
      <c r="V793" s="480"/>
      <c r="W793" s="480"/>
      <c r="X793" s="480"/>
      <c r="Y793" s="480"/>
      <c r="Z793" s="480"/>
    </row>
    <row r="794" spans="1:26" ht="20.25" customHeight="1">
      <c r="A794" s="801"/>
      <c r="B794" s="504"/>
      <c r="C794" s="600"/>
      <c r="D794" s="600"/>
      <c r="E794" s="600"/>
      <c r="F794" s="600" t="s">
        <v>187</v>
      </c>
      <c r="G794" s="479"/>
      <c r="H794" s="623" t="s">
        <v>12</v>
      </c>
      <c r="I794" s="216"/>
      <c r="J794" s="216"/>
      <c r="K794" s="63"/>
      <c r="L794" s="63"/>
      <c r="M794" s="63"/>
      <c r="N794" s="227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1244107.09)</f>
        <v>1244107.0900000001</v>
      </c>
      <c r="O794" s="63"/>
      <c r="P794" s="684"/>
      <c r="Q794" s="480"/>
      <c r="R794" s="480"/>
      <c r="S794" s="480"/>
      <c r="T794" s="480"/>
      <c r="U794" s="480"/>
      <c r="V794" s="480"/>
      <c r="W794" s="480"/>
      <c r="X794" s="480"/>
      <c r="Y794" s="480"/>
      <c r="Z794" s="480"/>
    </row>
    <row r="795" spans="1:26" ht="20.25" customHeight="1">
      <c r="A795" s="801"/>
      <c r="B795" s="504"/>
      <c r="C795" s="600"/>
      <c r="D795" s="600"/>
      <c r="E795" s="600"/>
      <c r="F795" s="600" t="s">
        <v>188</v>
      </c>
      <c r="G795" s="479"/>
      <c r="H795" s="623" t="s">
        <v>12</v>
      </c>
      <c r="I795" s="216"/>
      <c r="J795" s="216"/>
      <c r="K795" s="63"/>
      <c r="L795" s="63"/>
      <c r="M795" s="63"/>
      <c r="N795" s="227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1567882.13)</f>
        <v>1567882.13</v>
      </c>
      <c r="O795" s="63"/>
      <c r="P795" s="684"/>
      <c r="Q795" s="480"/>
      <c r="R795" s="480"/>
      <c r="S795" s="480"/>
      <c r="T795" s="480"/>
      <c r="U795" s="480"/>
      <c r="V795" s="480"/>
      <c r="W795" s="480"/>
      <c r="X795" s="480"/>
      <c r="Y795" s="480"/>
      <c r="Z795" s="480"/>
    </row>
    <row r="796" spans="1:26" ht="20.25" customHeight="1">
      <c r="A796" s="809"/>
      <c r="B796" s="499"/>
      <c r="C796" s="500"/>
      <c r="D796" s="501" t="s">
        <v>19</v>
      </c>
      <c r="E796" s="500"/>
      <c r="F796" s="500"/>
      <c r="G796" s="502"/>
      <c r="H796" s="118" t="s">
        <v>12</v>
      </c>
      <c r="I796" s="115"/>
      <c r="J796" s="115"/>
      <c r="K796" s="116"/>
      <c r="L796" s="23">
        <f t="shared" ref="L796:N796" ca="1" si="378">L797+L798</f>
        <v>9820000</v>
      </c>
      <c r="M796" s="23">
        <f t="shared" ca="1" si="378"/>
        <v>9820000</v>
      </c>
      <c r="N796" s="23">
        <f t="shared" ca="1" si="378"/>
        <v>9589000</v>
      </c>
      <c r="O796" s="23">
        <f t="shared" ref="O796:O798" ca="1" si="379">IF(L796&gt;0,N796*100/L796,0)</f>
        <v>97.647657841140528</v>
      </c>
      <c r="P796" s="682">
        <f t="shared" ref="P796:P798" ca="1" si="380">IF(M796&gt;0,N796*100/M796,0)</f>
        <v>97.647657841140528</v>
      </c>
      <c r="Q796" s="503"/>
      <c r="R796" s="503"/>
      <c r="S796" s="503"/>
      <c r="T796" s="503"/>
      <c r="U796" s="503"/>
      <c r="V796" s="503"/>
      <c r="W796" s="503"/>
      <c r="X796" s="503"/>
      <c r="Y796" s="503"/>
      <c r="Z796" s="503"/>
    </row>
    <row r="797" spans="1:26" ht="20.25" customHeight="1">
      <c r="A797" s="808"/>
      <c r="B797" s="504"/>
      <c r="C797" s="600"/>
      <c r="D797" s="600"/>
      <c r="E797" s="600" t="s">
        <v>16</v>
      </c>
      <c r="F797" s="600"/>
      <c r="G797" s="479"/>
      <c r="H797" s="623" t="s">
        <v>12</v>
      </c>
      <c r="I797" s="128"/>
      <c r="J797" s="128"/>
      <c r="K797" s="117"/>
      <c r="L797" s="63">
        <f ca="1">IFERROR(__xludf.DUMMYFUNCTION("IMPORTRANGE(""https://docs.google.com/spreadsheets/d/1QqKyyYR6Q21VydFLVH3TRQUabQu_ym0Zz7PgGX0-kHA/edit?usp=sharing"",""แผน!JM11"")"),9820000)</f>
        <v>9820000</v>
      </c>
      <c r="M797" s="63">
        <f ca="1">L797</f>
        <v>9820000</v>
      </c>
      <c r="N797" s="63">
        <f ca="1">IFERROR(__xludf.DUMMYFUNCTION("IMPORTRANGE(""https://docs.google.com/spreadsheets/d/1WhzDrMlrZfqSjGYJh0xYjRtGVhp5LiCqlO7EaAHfOOk/edit?usp=sharing"",""sheet1!CQ6"")"),9589000)</f>
        <v>9589000</v>
      </c>
      <c r="O797" s="63">
        <f t="shared" ca="1" si="379"/>
        <v>97.647657841140528</v>
      </c>
      <c r="P797" s="684">
        <f t="shared" ca="1" si="380"/>
        <v>97.647657841140528</v>
      </c>
      <c r="Q797" s="480"/>
      <c r="R797" s="480"/>
      <c r="S797" s="480"/>
      <c r="T797" s="480"/>
      <c r="U797" s="480"/>
      <c r="V797" s="480"/>
      <c r="W797" s="480"/>
      <c r="X797" s="480"/>
      <c r="Y797" s="480"/>
      <c r="Z797" s="480"/>
    </row>
    <row r="798" spans="1:26" ht="20.25" customHeight="1">
      <c r="A798" s="808"/>
      <c r="B798" s="504"/>
      <c r="C798" s="600"/>
      <c r="D798" s="600"/>
      <c r="E798" s="600" t="s">
        <v>17</v>
      </c>
      <c r="F798" s="600"/>
      <c r="G798" s="479"/>
      <c r="H798" s="119" t="s">
        <v>12</v>
      </c>
      <c r="I798" s="128"/>
      <c r="J798" s="128"/>
      <c r="K798" s="117"/>
      <c r="L798" s="63">
        <v>0</v>
      </c>
      <c r="M798" s="63">
        <v>0</v>
      </c>
      <c r="N798" s="63">
        <v>0</v>
      </c>
      <c r="O798" s="63">
        <f t="shared" si="379"/>
        <v>0</v>
      </c>
      <c r="P798" s="684">
        <f t="shared" si="380"/>
        <v>0</v>
      </c>
      <c r="Q798" s="480"/>
      <c r="R798" s="480"/>
      <c r="S798" s="480"/>
      <c r="T798" s="480"/>
      <c r="U798" s="480"/>
      <c r="V798" s="480"/>
      <c r="W798" s="480"/>
      <c r="X798" s="480"/>
      <c r="Y798" s="480"/>
      <c r="Z798" s="480"/>
    </row>
    <row r="799" spans="1:26" ht="20.25" customHeight="1">
      <c r="A799" s="810"/>
      <c r="B799" s="508"/>
      <c r="C799" s="860" t="s">
        <v>14</v>
      </c>
      <c r="D799" s="597" t="s">
        <v>36</v>
      </c>
      <c r="E799" s="598"/>
      <c r="F799" s="598"/>
      <c r="G799" s="507"/>
      <c r="H799" s="619"/>
      <c r="I799" s="128"/>
      <c r="J799" s="128"/>
      <c r="K799" s="117"/>
      <c r="L799" s="117"/>
      <c r="M799" s="117"/>
      <c r="N799" s="117"/>
      <c r="O799" s="117"/>
      <c r="P799" s="718"/>
      <c r="Q799" s="480"/>
      <c r="R799" s="480"/>
      <c r="S799" s="480"/>
      <c r="T799" s="480"/>
      <c r="U799" s="480"/>
      <c r="V799" s="480"/>
      <c r="W799" s="480"/>
      <c r="X799" s="480"/>
      <c r="Y799" s="480"/>
      <c r="Z799" s="480"/>
    </row>
    <row r="800" spans="1:26" ht="20.25" customHeight="1">
      <c r="A800" s="810"/>
      <c r="B800" s="508"/>
      <c r="C800" s="508"/>
      <c r="D800" s="508"/>
      <c r="E800" s="574"/>
      <c r="F800" s="574" t="s">
        <v>320</v>
      </c>
      <c r="G800" s="599"/>
      <c r="H800" s="622" t="s">
        <v>32</v>
      </c>
      <c r="I800" s="128">
        <v>0</v>
      </c>
      <c r="J800" s="128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3203)</f>
        <v>3203</v>
      </c>
      <c r="K800" s="63">
        <f t="shared" ref="K800:K804" si="381">IF(I800&gt;0,J800*100/I800,0)</f>
        <v>0</v>
      </c>
      <c r="L800" s="63"/>
      <c r="M800" s="63"/>
      <c r="N800" s="63"/>
      <c r="O800" s="117"/>
      <c r="P800" s="718"/>
      <c r="Q800" s="480"/>
      <c r="R800" s="480"/>
      <c r="S800" s="480"/>
      <c r="T800" s="480"/>
      <c r="U800" s="480"/>
      <c r="V800" s="480"/>
      <c r="W800" s="480"/>
      <c r="X800" s="480"/>
      <c r="Y800" s="480"/>
      <c r="Z800" s="480"/>
    </row>
    <row r="801" spans="1:26" ht="20.25" customHeight="1">
      <c r="A801" s="810"/>
      <c r="B801" s="508"/>
      <c r="C801" s="508"/>
      <c r="D801" s="508"/>
      <c r="E801" s="574"/>
      <c r="F801" s="574"/>
      <c r="G801" s="599"/>
      <c r="H801" s="623" t="s">
        <v>44</v>
      </c>
      <c r="I801" s="128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16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41856)</f>
        <v>41856</v>
      </c>
      <c r="K801" s="63">
        <f t="shared" ca="1" si="381"/>
        <v>67.509677419354844</v>
      </c>
      <c r="L801" s="63"/>
      <c r="M801" s="63"/>
      <c r="N801" s="63"/>
      <c r="O801" s="117"/>
      <c r="P801" s="718"/>
      <c r="Q801" s="480"/>
      <c r="R801" s="480"/>
      <c r="S801" s="480"/>
      <c r="T801" s="480"/>
      <c r="U801" s="480"/>
      <c r="V801" s="480"/>
      <c r="W801" s="480"/>
      <c r="X801" s="480"/>
      <c r="Y801" s="480"/>
      <c r="Z801" s="480"/>
    </row>
    <row r="802" spans="1:26" ht="20.25" customHeight="1">
      <c r="A802" s="810"/>
      <c r="B802" s="508"/>
      <c r="C802" s="508"/>
      <c r="D802" s="508"/>
      <c r="E802" s="574"/>
      <c r="F802" s="574" t="s">
        <v>321</v>
      </c>
      <c r="G802" s="599"/>
      <c r="H802" s="622" t="s">
        <v>32</v>
      </c>
      <c r="I802" s="128">
        <v>0</v>
      </c>
      <c r="J802" s="216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7394)</f>
        <v>7394</v>
      </c>
      <c r="K802" s="117">
        <f t="shared" si="381"/>
        <v>0</v>
      </c>
      <c r="L802" s="117"/>
      <c r="M802" s="117"/>
      <c r="N802" s="117"/>
      <c r="O802" s="117"/>
      <c r="P802" s="718"/>
      <c r="Q802" s="480"/>
      <c r="R802" s="480"/>
      <c r="S802" s="480"/>
      <c r="T802" s="480"/>
      <c r="U802" s="480"/>
      <c r="V802" s="480"/>
      <c r="W802" s="480"/>
      <c r="X802" s="480"/>
      <c r="Y802" s="480"/>
      <c r="Z802" s="480"/>
    </row>
    <row r="803" spans="1:26" ht="20.25" customHeight="1">
      <c r="A803" s="810"/>
      <c r="B803" s="508"/>
      <c r="C803" s="508"/>
      <c r="D803" s="508"/>
      <c r="E803" s="574"/>
      <c r="F803" s="574"/>
      <c r="G803" s="599"/>
      <c r="H803" s="622" t="s">
        <v>44</v>
      </c>
      <c r="I803" s="128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16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101876.0675)</f>
        <v>101876.0675</v>
      </c>
      <c r="K803" s="117">
        <f t="shared" ca="1" si="381"/>
        <v>73.823237318840583</v>
      </c>
      <c r="L803" s="117"/>
      <c r="M803" s="117"/>
      <c r="N803" s="117"/>
      <c r="O803" s="117"/>
      <c r="P803" s="718"/>
      <c r="Q803" s="480"/>
      <c r="R803" s="480"/>
      <c r="S803" s="480"/>
      <c r="T803" s="480"/>
      <c r="U803" s="480"/>
      <c r="V803" s="480"/>
      <c r="W803" s="480"/>
      <c r="X803" s="480"/>
      <c r="Y803" s="480"/>
      <c r="Z803" s="480"/>
    </row>
    <row r="804" spans="1:26" ht="20.25" customHeight="1">
      <c r="A804" s="838">
        <v>13</v>
      </c>
      <c r="B804" s="612" t="s">
        <v>322</v>
      </c>
      <c r="C804" s="613"/>
      <c r="D804" s="624"/>
      <c r="E804" s="613"/>
      <c r="F804" s="613"/>
      <c r="G804" s="614"/>
      <c r="H804" s="615" t="s">
        <v>44</v>
      </c>
      <c r="I804" s="616">
        <f t="shared" ref="I804:J804" si="382">I819</f>
        <v>340000</v>
      </c>
      <c r="J804" s="616">
        <f t="shared" si="382"/>
        <v>257500</v>
      </c>
      <c r="K804" s="617">
        <f t="shared" si="381"/>
        <v>75.735294117647058</v>
      </c>
      <c r="L804" s="618"/>
      <c r="M804" s="618"/>
      <c r="N804" s="618"/>
      <c r="O804" s="618"/>
      <c r="P804" s="839"/>
      <c r="Q804" s="480"/>
      <c r="R804" s="480"/>
      <c r="S804" s="480"/>
      <c r="T804" s="480"/>
      <c r="U804" s="480"/>
      <c r="V804" s="480"/>
      <c r="W804" s="480"/>
      <c r="X804" s="480"/>
      <c r="Y804" s="480"/>
      <c r="Z804" s="480"/>
    </row>
    <row r="805" spans="1:26" ht="20.25" customHeight="1">
      <c r="A805" s="808"/>
      <c r="B805" s="600"/>
      <c r="C805" s="860" t="s">
        <v>14</v>
      </c>
      <c r="D805" s="861" t="s">
        <v>15</v>
      </c>
      <c r="E805" s="862"/>
      <c r="F805" s="862"/>
      <c r="G805" s="479"/>
      <c r="H805" s="114" t="s">
        <v>12</v>
      </c>
      <c r="I805" s="216"/>
      <c r="J805" s="216"/>
      <c r="K805" s="63"/>
      <c r="L805" s="23">
        <f t="shared" ref="L805:N805" ca="1" si="383">L806+L807</f>
        <v>4990760</v>
      </c>
      <c r="M805" s="23">
        <f t="shared" ca="1" si="383"/>
        <v>4990760</v>
      </c>
      <c r="N805" s="23">
        <f t="shared" ca="1" si="383"/>
        <v>3239406.57</v>
      </c>
      <c r="O805" s="23">
        <f t="shared" ref="O805:O810" ca="1" si="384">IF(L805&gt;0,N805*100/L805,0)</f>
        <v>64.908081534676086</v>
      </c>
      <c r="P805" s="682">
        <f t="shared" ref="P805:P810" ca="1" si="385">IF(M805&gt;0,N805*100/M805,0)</f>
        <v>64.908081534676086</v>
      </c>
      <c r="Q805" s="480"/>
      <c r="R805" s="480"/>
      <c r="S805" s="480"/>
      <c r="T805" s="480"/>
      <c r="U805" s="480"/>
      <c r="V805" s="480"/>
      <c r="W805" s="480"/>
      <c r="X805" s="480"/>
      <c r="Y805" s="480"/>
      <c r="Z805" s="480"/>
    </row>
    <row r="806" spans="1:26" ht="20.25" customHeight="1">
      <c r="A806" s="808"/>
      <c r="B806" s="600"/>
      <c r="C806" s="600"/>
      <c r="D806" s="508"/>
      <c r="E806" s="600" t="s">
        <v>183</v>
      </c>
      <c r="F806" s="600"/>
      <c r="G806" s="479"/>
      <c r="H806" s="623" t="s">
        <v>12</v>
      </c>
      <c r="I806" s="216"/>
      <c r="J806" s="216"/>
      <c r="K806" s="63"/>
      <c r="L806" s="63">
        <f t="shared" ref="L806:N806" ca="1" si="386">L809+L816</f>
        <v>4990760</v>
      </c>
      <c r="M806" s="63">
        <f t="shared" ca="1" si="386"/>
        <v>4990760</v>
      </c>
      <c r="N806" s="63">
        <f t="shared" ca="1" si="386"/>
        <v>3239406.57</v>
      </c>
      <c r="O806" s="63">
        <f t="shared" ca="1" si="384"/>
        <v>64.908081534676086</v>
      </c>
      <c r="P806" s="684">
        <f t="shared" ca="1" si="385"/>
        <v>64.908081534676086</v>
      </c>
      <c r="Q806" s="480"/>
      <c r="R806" s="480"/>
      <c r="S806" s="480"/>
      <c r="T806" s="480"/>
      <c r="U806" s="480"/>
      <c r="V806" s="480"/>
      <c r="W806" s="480"/>
      <c r="X806" s="480"/>
      <c r="Y806" s="480"/>
      <c r="Z806" s="480"/>
    </row>
    <row r="807" spans="1:26" ht="20.25" customHeight="1">
      <c r="A807" s="808"/>
      <c r="B807" s="600"/>
      <c r="C807" s="600"/>
      <c r="D807" s="508"/>
      <c r="E807" s="600" t="s">
        <v>184</v>
      </c>
      <c r="F807" s="600"/>
      <c r="G807" s="479"/>
      <c r="H807" s="623" t="s">
        <v>12</v>
      </c>
      <c r="I807" s="216"/>
      <c r="J807" s="216"/>
      <c r="K807" s="63"/>
      <c r="L807" s="63">
        <f t="shared" ref="L807:N807" si="387">L810+L817</f>
        <v>0</v>
      </c>
      <c r="M807" s="63">
        <f t="shared" si="387"/>
        <v>0</v>
      </c>
      <c r="N807" s="63">
        <f t="shared" si="387"/>
        <v>0</v>
      </c>
      <c r="O807" s="63">
        <f t="shared" si="384"/>
        <v>0</v>
      </c>
      <c r="P807" s="684">
        <f t="shared" si="385"/>
        <v>0</v>
      </c>
      <c r="Q807" s="480"/>
      <c r="R807" s="480"/>
      <c r="S807" s="480"/>
      <c r="T807" s="480"/>
      <c r="U807" s="480"/>
      <c r="V807" s="480"/>
      <c r="W807" s="480"/>
      <c r="X807" s="480"/>
      <c r="Y807" s="480"/>
      <c r="Z807" s="480"/>
    </row>
    <row r="808" spans="1:26" ht="20.25" customHeight="1">
      <c r="A808" s="809"/>
      <c r="B808" s="499"/>
      <c r="C808" s="500"/>
      <c r="D808" s="861" t="s">
        <v>18</v>
      </c>
      <c r="E808" s="862"/>
      <c r="F808" s="862"/>
      <c r="G808" s="502"/>
      <c r="H808" s="114" t="s">
        <v>12</v>
      </c>
      <c r="I808" s="115"/>
      <c r="J808" s="115"/>
      <c r="K808" s="116"/>
      <c r="L808" s="23">
        <f t="shared" ref="L808:N808" ca="1" si="388">L809+L810</f>
        <v>4990760</v>
      </c>
      <c r="M808" s="23">
        <f t="shared" ca="1" si="388"/>
        <v>4990760</v>
      </c>
      <c r="N808" s="23">
        <f t="shared" ca="1" si="388"/>
        <v>3239406.57</v>
      </c>
      <c r="O808" s="23">
        <f t="shared" ca="1" si="384"/>
        <v>64.908081534676086</v>
      </c>
      <c r="P808" s="682">
        <f t="shared" ca="1" si="385"/>
        <v>64.908081534676086</v>
      </c>
      <c r="Q808" s="503"/>
      <c r="R808" s="503"/>
      <c r="S808" s="503"/>
      <c r="T808" s="503"/>
      <c r="U808" s="503"/>
      <c r="V808" s="503"/>
      <c r="W808" s="503"/>
      <c r="X808" s="503"/>
      <c r="Y808" s="503"/>
      <c r="Z808" s="503"/>
    </row>
    <row r="809" spans="1:26" ht="20.25" customHeight="1">
      <c r="A809" s="808"/>
      <c r="B809" s="600"/>
      <c r="C809" s="600"/>
      <c r="D809" s="508"/>
      <c r="E809" s="600" t="s">
        <v>183</v>
      </c>
      <c r="F809" s="600"/>
      <c r="G809" s="479"/>
      <c r="H809" s="623" t="s">
        <v>12</v>
      </c>
      <c r="I809" s="216"/>
      <c r="J809" s="216"/>
      <c r="K809" s="63"/>
      <c r="L809" s="63">
        <f ca="1">IFERROR(__xludf.DUMMYFUNCTION("IMPORTRANGE(""https://docs.google.com/spreadsheets/d/1QqKyyYR6Q21VydFLVH3TRQUabQu_ym0Zz7PgGX0-kHA/edit?usp=sharing"",""แผน!JP11"")"),4990760)</f>
        <v>4990760</v>
      </c>
      <c r="M809" s="63">
        <f ca="1">L809</f>
        <v>4990760</v>
      </c>
      <c r="N809" s="63">
        <f ca="1">IFERROR(__xludf.DUMMYFUNCTION("IMPORTRANGE(""https://docs.google.com/spreadsheets/d/1WhzDrMlrZfqSjGYJh0xYjRtGVhp5LiCqlO7EaAHfOOk/edit?usp=sharing"",""sheet1!CV6"")"),3239406.57)</f>
        <v>3239406.57</v>
      </c>
      <c r="O809" s="63">
        <f t="shared" ca="1" si="384"/>
        <v>64.908081534676086</v>
      </c>
      <c r="P809" s="684">
        <f t="shared" ca="1" si="385"/>
        <v>64.908081534676086</v>
      </c>
      <c r="Q809" s="480"/>
      <c r="R809" s="480"/>
      <c r="S809" s="480"/>
      <c r="T809" s="480"/>
      <c r="U809" s="480"/>
      <c r="V809" s="480"/>
      <c r="W809" s="480"/>
      <c r="X809" s="480"/>
      <c r="Y809" s="480"/>
      <c r="Z809" s="480"/>
    </row>
    <row r="810" spans="1:26" ht="20.25" customHeight="1">
      <c r="A810" s="808"/>
      <c r="B810" s="600"/>
      <c r="C810" s="600"/>
      <c r="D810" s="508"/>
      <c r="E810" s="600" t="s">
        <v>184</v>
      </c>
      <c r="F810" s="600"/>
      <c r="G810" s="479"/>
      <c r="H810" s="623" t="s">
        <v>12</v>
      </c>
      <c r="I810" s="216"/>
      <c r="J810" s="216"/>
      <c r="K810" s="63"/>
      <c r="L810" s="63">
        <v>0</v>
      </c>
      <c r="M810" s="63">
        <v>0</v>
      </c>
      <c r="N810" s="63">
        <f>N811+N812+N813+N814</f>
        <v>0</v>
      </c>
      <c r="O810" s="63">
        <f t="shared" si="384"/>
        <v>0</v>
      </c>
      <c r="P810" s="684">
        <f t="shared" si="385"/>
        <v>0</v>
      </c>
      <c r="Q810" s="480"/>
      <c r="R810" s="480"/>
      <c r="S810" s="480"/>
      <c r="T810" s="480"/>
      <c r="U810" s="480"/>
      <c r="V810" s="480"/>
      <c r="W810" s="480"/>
      <c r="X810" s="480"/>
      <c r="Y810" s="480"/>
      <c r="Z810" s="480"/>
    </row>
    <row r="811" spans="1:26" ht="20.25" customHeight="1">
      <c r="A811" s="801"/>
      <c r="B811" s="504"/>
      <c r="C811" s="600"/>
      <c r="D811" s="504"/>
      <c r="E811" s="600"/>
      <c r="F811" s="600" t="s">
        <v>185</v>
      </c>
      <c r="G811" s="479"/>
      <c r="H811" s="623" t="s">
        <v>12</v>
      </c>
      <c r="I811" s="216"/>
      <c r="J811" s="216"/>
      <c r="K811" s="63"/>
      <c r="L811" s="63"/>
      <c r="M811" s="63"/>
      <c r="N811" s="63"/>
      <c r="O811" s="63"/>
      <c r="P811" s="684"/>
      <c r="Q811" s="480"/>
      <c r="R811" s="480"/>
      <c r="S811" s="480"/>
      <c r="T811" s="480"/>
      <c r="U811" s="480"/>
      <c r="V811" s="480"/>
      <c r="W811" s="480"/>
      <c r="X811" s="480"/>
      <c r="Y811" s="480"/>
      <c r="Z811" s="480"/>
    </row>
    <row r="812" spans="1:26" ht="20.25" customHeight="1">
      <c r="A812" s="801"/>
      <c r="B812" s="504"/>
      <c r="C812" s="600"/>
      <c r="D812" s="504"/>
      <c r="E812" s="600"/>
      <c r="F812" s="600" t="s">
        <v>186</v>
      </c>
      <c r="G812" s="479"/>
      <c r="H812" s="623" t="s">
        <v>12</v>
      </c>
      <c r="I812" s="216"/>
      <c r="J812" s="216"/>
      <c r="K812" s="63"/>
      <c r="L812" s="63"/>
      <c r="M812" s="63"/>
      <c r="N812" s="63"/>
      <c r="O812" s="63"/>
      <c r="P812" s="684"/>
      <c r="Q812" s="480"/>
      <c r="R812" s="480"/>
      <c r="S812" s="480"/>
      <c r="T812" s="480"/>
      <c r="U812" s="480"/>
      <c r="V812" s="480"/>
      <c r="W812" s="480"/>
      <c r="X812" s="480"/>
      <c r="Y812" s="480"/>
      <c r="Z812" s="480"/>
    </row>
    <row r="813" spans="1:26" ht="20.25" customHeight="1">
      <c r="A813" s="801"/>
      <c r="B813" s="504"/>
      <c r="C813" s="600"/>
      <c r="D813" s="504"/>
      <c r="E813" s="600"/>
      <c r="F813" s="600" t="s">
        <v>187</v>
      </c>
      <c r="G813" s="479"/>
      <c r="H813" s="623" t="s">
        <v>12</v>
      </c>
      <c r="I813" s="216"/>
      <c r="J813" s="216"/>
      <c r="K813" s="63"/>
      <c r="L813" s="63"/>
      <c r="M813" s="63"/>
      <c r="N813" s="63"/>
      <c r="O813" s="63"/>
      <c r="P813" s="684"/>
      <c r="Q813" s="480"/>
      <c r="R813" s="480"/>
      <c r="S813" s="480"/>
      <c r="T813" s="480"/>
      <c r="U813" s="480"/>
      <c r="V813" s="480"/>
      <c r="W813" s="480"/>
      <c r="X813" s="480"/>
      <c r="Y813" s="480"/>
      <c r="Z813" s="480"/>
    </row>
    <row r="814" spans="1:26" ht="20.25" customHeight="1">
      <c r="A814" s="801"/>
      <c r="B814" s="504"/>
      <c r="C814" s="600"/>
      <c r="D814" s="504"/>
      <c r="E814" s="600"/>
      <c r="F814" s="600" t="s">
        <v>188</v>
      </c>
      <c r="G814" s="479"/>
      <c r="H814" s="623" t="s">
        <v>12</v>
      </c>
      <c r="I814" s="216"/>
      <c r="J814" s="216"/>
      <c r="K814" s="63"/>
      <c r="L814" s="63"/>
      <c r="M814" s="63"/>
      <c r="N814" s="63"/>
      <c r="O814" s="63"/>
      <c r="P814" s="684"/>
      <c r="Q814" s="480"/>
      <c r="R814" s="480"/>
      <c r="S814" s="480"/>
      <c r="T814" s="480"/>
      <c r="U814" s="480"/>
      <c r="V814" s="480"/>
      <c r="W814" s="480"/>
      <c r="X814" s="480"/>
      <c r="Y814" s="480"/>
      <c r="Z814" s="480"/>
    </row>
    <row r="815" spans="1:26" ht="20.25" customHeight="1">
      <c r="A815" s="809"/>
      <c r="B815" s="499"/>
      <c r="C815" s="500"/>
      <c r="D815" s="861" t="s">
        <v>19</v>
      </c>
      <c r="E815" s="862"/>
      <c r="F815" s="862"/>
      <c r="G815" s="502"/>
      <c r="H815" s="118" t="s">
        <v>12</v>
      </c>
      <c r="I815" s="115"/>
      <c r="J815" s="115"/>
      <c r="K815" s="116"/>
      <c r="L815" s="23">
        <f t="shared" ref="L815:N815" si="389">L816+L817</f>
        <v>0</v>
      </c>
      <c r="M815" s="23">
        <f t="shared" si="389"/>
        <v>0</v>
      </c>
      <c r="N815" s="23">
        <f t="shared" ca="1" si="389"/>
        <v>0</v>
      </c>
      <c r="O815" s="23">
        <f t="shared" ref="O815:O817" si="390">IF(L815&gt;0,N815*100/L815,0)</f>
        <v>0</v>
      </c>
      <c r="P815" s="682">
        <f t="shared" ref="P815:P817" si="391">IF(M815&gt;0,N815*100/M815,0)</f>
        <v>0</v>
      </c>
      <c r="Q815" s="503"/>
      <c r="R815" s="503"/>
      <c r="S815" s="503"/>
      <c r="T815" s="503"/>
      <c r="U815" s="503"/>
      <c r="V815" s="503"/>
      <c r="W815" s="503"/>
      <c r="X815" s="503"/>
      <c r="Y815" s="503"/>
      <c r="Z815" s="503"/>
    </row>
    <row r="816" spans="1:26" ht="20.25" customHeight="1">
      <c r="A816" s="808"/>
      <c r="B816" s="504"/>
      <c r="C816" s="600"/>
      <c r="D816" s="504"/>
      <c r="E816" s="600" t="s">
        <v>16</v>
      </c>
      <c r="F816" s="600"/>
      <c r="G816" s="479"/>
      <c r="H816" s="623" t="s">
        <v>12</v>
      </c>
      <c r="I816" s="128"/>
      <c r="J816" s="128"/>
      <c r="K816" s="117"/>
      <c r="L816" s="63">
        <v>0</v>
      </c>
      <c r="M816" s="63">
        <v>0</v>
      </c>
      <c r="N816" s="63">
        <f ca="1">IFERROR(__xludf.DUMMYFUNCTION("IMPORTRANGE(""https://docs.google.com/spreadsheets/d/1WhzDrMlrZfqSjGYJh0xYjRtGVhp5LiCqlO7EaAHfOOk/edit?usp=sharing"",""sheet1!CX6"")"),0)</f>
        <v>0</v>
      </c>
      <c r="O816" s="63">
        <f t="shared" si="390"/>
        <v>0</v>
      </c>
      <c r="P816" s="684">
        <f t="shared" si="391"/>
        <v>0</v>
      </c>
      <c r="Q816" s="480"/>
      <c r="R816" s="480"/>
      <c r="S816" s="480"/>
      <c r="T816" s="480"/>
      <c r="U816" s="480"/>
      <c r="V816" s="480"/>
      <c r="W816" s="480"/>
      <c r="X816" s="480"/>
      <c r="Y816" s="480"/>
      <c r="Z816" s="480"/>
    </row>
    <row r="817" spans="1:26" ht="20.25" customHeight="1">
      <c r="A817" s="808"/>
      <c r="B817" s="504"/>
      <c r="C817" s="600"/>
      <c r="D817" s="504"/>
      <c r="E817" s="600" t="s">
        <v>17</v>
      </c>
      <c r="F817" s="600"/>
      <c r="G817" s="479"/>
      <c r="H817" s="119" t="s">
        <v>12</v>
      </c>
      <c r="I817" s="128"/>
      <c r="J817" s="128"/>
      <c r="K817" s="117"/>
      <c r="L817" s="63">
        <v>0</v>
      </c>
      <c r="M817" s="63">
        <v>0</v>
      </c>
      <c r="N817" s="63">
        <v>0</v>
      </c>
      <c r="O817" s="63">
        <f t="shared" si="390"/>
        <v>0</v>
      </c>
      <c r="P817" s="684">
        <f t="shared" si="391"/>
        <v>0</v>
      </c>
      <c r="Q817" s="480"/>
      <c r="R817" s="480"/>
      <c r="S817" s="480"/>
      <c r="T817" s="480"/>
      <c r="U817" s="480"/>
      <c r="V817" s="480"/>
      <c r="W817" s="480"/>
      <c r="X817" s="480"/>
      <c r="Y817" s="480"/>
      <c r="Z817" s="480"/>
    </row>
    <row r="818" spans="1:26" ht="20.25" customHeight="1">
      <c r="A818" s="810"/>
      <c r="B818" s="508"/>
      <c r="C818" s="860" t="s">
        <v>14</v>
      </c>
      <c r="D818" s="505" t="s">
        <v>36</v>
      </c>
      <c r="E818" s="598"/>
      <c r="F818" s="598"/>
      <c r="G818" s="507"/>
      <c r="H818" s="599"/>
      <c r="I818" s="128"/>
      <c r="J818" s="128"/>
      <c r="K818" s="117"/>
      <c r="L818" s="117"/>
      <c r="M818" s="117"/>
      <c r="N818" s="117"/>
      <c r="O818" s="117"/>
      <c r="P818" s="718"/>
      <c r="Q818" s="480"/>
      <c r="R818" s="480"/>
      <c r="S818" s="480"/>
      <c r="T818" s="480"/>
      <c r="U818" s="480"/>
      <c r="V818" s="480"/>
      <c r="W818" s="480"/>
      <c r="X818" s="480"/>
      <c r="Y818" s="480"/>
      <c r="Z818" s="480"/>
    </row>
    <row r="819" spans="1:26" ht="20.25" customHeight="1">
      <c r="A819" s="840"/>
      <c r="B819" s="625"/>
      <c r="C819" s="626"/>
      <c r="D819" s="625"/>
      <c r="E819" s="626" t="s">
        <v>323</v>
      </c>
      <c r="F819" s="626"/>
      <c r="G819" s="627"/>
      <c r="H819" s="628" t="s">
        <v>44</v>
      </c>
      <c r="I819" s="629">
        <v>340000</v>
      </c>
      <c r="J819" s="629">
        <v>257500</v>
      </c>
      <c r="K819" s="630">
        <f>IF(I819&gt;0,J819*100/I819,0)</f>
        <v>75.735294117647058</v>
      </c>
      <c r="L819" s="630"/>
      <c r="M819" s="630"/>
      <c r="N819" s="630"/>
      <c r="O819" s="630"/>
      <c r="P819" s="841"/>
      <c r="Q819" s="480"/>
      <c r="R819" s="480"/>
      <c r="S819" s="480"/>
      <c r="T819" s="480"/>
      <c r="U819" s="480"/>
      <c r="V819" s="480"/>
      <c r="W819" s="480"/>
      <c r="X819" s="480"/>
      <c r="Y819" s="480"/>
      <c r="Z819" s="480"/>
    </row>
    <row r="820" spans="1:26" ht="20.25" customHeight="1">
      <c r="A820" s="842" t="s">
        <v>324</v>
      </c>
      <c r="B820" s="631"/>
      <c r="C820" s="631"/>
      <c r="D820" s="632"/>
      <c r="E820" s="631"/>
      <c r="F820" s="631"/>
      <c r="G820" s="633"/>
      <c r="H820" s="634" t="str">
        <f ca="1">IFERROR(__xludf.DUMMYFUNCTION("IMPORTRANGE(""https://docs.google.com/spreadsheets/d/1RCyyhEJggpv17xgUrW2PS9v7yLqUjmy4YI2wzp0s_Mw/edit#gid=0"",""Sheet1!b2"")"),"(ข้อมูล ณ วันที่ 30 มิ.ย. 66)")</f>
        <v>(ข้อมูล ณ วันที่ 30 มิ.ย. 66)</v>
      </c>
      <c r="I820" s="635"/>
      <c r="J820" s="635"/>
      <c r="K820" s="636"/>
      <c r="L820" s="636"/>
      <c r="M820" s="636"/>
      <c r="N820" s="636"/>
      <c r="O820" s="636"/>
      <c r="P820" s="843"/>
      <c r="Q820" s="515"/>
      <c r="R820" s="515"/>
      <c r="S820" s="515"/>
      <c r="T820" s="515"/>
      <c r="U820" s="515"/>
      <c r="V820" s="515"/>
      <c r="W820" s="515"/>
      <c r="X820" s="515"/>
      <c r="Y820" s="515"/>
      <c r="Z820" s="515"/>
    </row>
    <row r="821" spans="1:26" ht="20.25" customHeight="1">
      <c r="A821" s="844"/>
      <c r="B821" s="637" t="s">
        <v>325</v>
      </c>
      <c r="C821" s="637"/>
      <c r="D821" s="510"/>
      <c r="E821" s="637"/>
      <c r="F821" s="637"/>
      <c r="G821" s="153"/>
      <c r="H821" s="517" t="s">
        <v>12</v>
      </c>
      <c r="I821" s="307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346626633.84)</f>
        <v>346626633.83999997</v>
      </c>
      <c r="J821" s="307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277500672.53)</f>
        <v>277500672.52999997</v>
      </c>
      <c r="K821" s="400">
        <f t="shared" ref="K821:K828" ca="1" si="392">IF(I821&gt;0,J821*100/I821,0)</f>
        <v>80.057515908628076</v>
      </c>
      <c r="L821" s="400"/>
      <c r="M821" s="400"/>
      <c r="N821" s="400"/>
      <c r="O821" s="400"/>
      <c r="P821" s="812"/>
      <c r="Q821" s="515"/>
      <c r="R821" s="515"/>
      <c r="S821" s="515"/>
      <c r="T821" s="515"/>
      <c r="U821" s="515"/>
      <c r="V821" s="515"/>
      <c r="W821" s="515"/>
      <c r="X821" s="515"/>
      <c r="Y821" s="515"/>
      <c r="Z821" s="515"/>
    </row>
    <row r="822" spans="1:26" ht="20.25" customHeight="1">
      <c r="A822" s="844"/>
      <c r="B822" s="637"/>
      <c r="C822" s="637"/>
      <c r="D822" s="510"/>
      <c r="E822" s="637"/>
      <c r="F822" s="637"/>
      <c r="G822" s="153"/>
      <c r="H822" s="517" t="s">
        <v>33</v>
      </c>
      <c r="I822" s="307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18337)</f>
        <v>18337</v>
      </c>
      <c r="J822" s="307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15136)</f>
        <v>15136</v>
      </c>
      <c r="K822" s="400">
        <f t="shared" ca="1" si="392"/>
        <v>82.54349130173965</v>
      </c>
      <c r="L822" s="400"/>
      <c r="M822" s="400"/>
      <c r="N822" s="400"/>
      <c r="O822" s="400"/>
      <c r="P822" s="812"/>
      <c r="Q822" s="515"/>
      <c r="R822" s="515"/>
      <c r="S822" s="515"/>
      <c r="T822" s="515"/>
      <c r="U822" s="515"/>
      <c r="V822" s="515"/>
      <c r="W822" s="515"/>
      <c r="X822" s="515"/>
      <c r="Y822" s="515"/>
      <c r="Z822" s="515"/>
    </row>
    <row r="823" spans="1:26" ht="20.25" customHeight="1">
      <c r="A823" s="844"/>
      <c r="B823" s="637" t="s">
        <v>326</v>
      </c>
      <c r="C823" s="637"/>
      <c r="D823" s="510"/>
      <c r="E823" s="637"/>
      <c r="F823" s="637"/>
      <c r="G823" s="153"/>
      <c r="H823" s="517" t="s">
        <v>12</v>
      </c>
      <c r="I823" s="307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07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51337368.41)</f>
        <v>51337368.409999996</v>
      </c>
      <c r="K823" s="400">
        <f t="shared" ca="1" si="392"/>
        <v>12.8511653667801</v>
      </c>
      <c r="L823" s="400"/>
      <c r="M823" s="400"/>
      <c r="N823" s="400"/>
      <c r="O823" s="400"/>
      <c r="P823" s="812"/>
      <c r="Q823" s="515"/>
      <c r="R823" s="515"/>
      <c r="S823" s="515"/>
      <c r="T823" s="515"/>
      <c r="U823" s="515"/>
      <c r="V823" s="515"/>
      <c r="W823" s="515"/>
      <c r="X823" s="515"/>
      <c r="Y823" s="515"/>
      <c r="Z823" s="515"/>
    </row>
    <row r="824" spans="1:26" ht="20.25" customHeight="1">
      <c r="A824" s="844"/>
      <c r="B824" s="637"/>
      <c r="C824" s="637"/>
      <c r="D824" s="510"/>
      <c r="E824" s="637"/>
      <c r="F824" s="637"/>
      <c r="G824" s="153"/>
      <c r="H824" s="517" t="s">
        <v>33</v>
      </c>
      <c r="I824" s="307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07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6892)</f>
        <v>6892</v>
      </c>
      <c r="K824" s="400">
        <f t="shared" ca="1" si="392"/>
        <v>44.478864149725716</v>
      </c>
      <c r="L824" s="400"/>
      <c r="M824" s="400"/>
      <c r="N824" s="400"/>
      <c r="O824" s="400"/>
      <c r="P824" s="812"/>
      <c r="Q824" s="515"/>
      <c r="R824" s="515"/>
      <c r="S824" s="515"/>
      <c r="T824" s="515"/>
      <c r="U824" s="515"/>
      <c r="V824" s="515"/>
      <c r="W824" s="515"/>
      <c r="X824" s="515"/>
      <c r="Y824" s="515"/>
      <c r="Z824" s="515"/>
    </row>
    <row r="825" spans="1:26" ht="20.25" customHeight="1">
      <c r="A825" s="844"/>
      <c r="B825" s="637" t="s">
        <v>327</v>
      </c>
      <c r="C825" s="637"/>
      <c r="D825" s="510"/>
      <c r="E825" s="637"/>
      <c r="F825" s="637"/>
      <c r="G825" s="153"/>
      <c r="H825" s="517" t="s">
        <v>12</v>
      </c>
      <c r="I825" s="307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307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45188291.71)</f>
        <v>45188291.710000001</v>
      </c>
      <c r="K825" s="400">
        <f t="shared" ca="1" si="392"/>
        <v>37.749846334669556</v>
      </c>
      <c r="L825" s="400"/>
      <c r="M825" s="400"/>
      <c r="N825" s="400"/>
      <c r="O825" s="400"/>
      <c r="P825" s="812"/>
      <c r="Q825" s="515"/>
      <c r="R825" s="515"/>
      <c r="S825" s="515"/>
      <c r="T825" s="515"/>
      <c r="U825" s="515"/>
      <c r="V825" s="515"/>
      <c r="W825" s="515"/>
      <c r="X825" s="515"/>
      <c r="Y825" s="515"/>
      <c r="Z825" s="515"/>
    </row>
    <row r="826" spans="1:26" ht="20.25" customHeight="1">
      <c r="A826" s="844"/>
      <c r="B826" s="637"/>
      <c r="C826" s="637"/>
      <c r="D826" s="510"/>
      <c r="E826" s="637"/>
      <c r="F826" s="637"/>
      <c r="G826" s="153"/>
      <c r="H826" s="517" t="s">
        <v>33</v>
      </c>
      <c r="I826" s="307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307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13210)</f>
        <v>13210</v>
      </c>
      <c r="K826" s="400">
        <f t="shared" ca="1" si="392"/>
        <v>72.324117163974819</v>
      </c>
      <c r="L826" s="400"/>
      <c r="M826" s="400"/>
      <c r="N826" s="400"/>
      <c r="O826" s="400"/>
      <c r="P826" s="812"/>
      <c r="Q826" s="515"/>
      <c r="R826" s="515"/>
      <c r="S826" s="515"/>
      <c r="T826" s="515"/>
      <c r="U826" s="515"/>
      <c r="V826" s="515"/>
      <c r="W826" s="515"/>
      <c r="X826" s="515"/>
      <c r="Y826" s="515"/>
      <c r="Z826" s="515"/>
    </row>
    <row r="827" spans="1:26" ht="20.25" customHeight="1">
      <c r="A827" s="844"/>
      <c r="B827" s="637" t="s">
        <v>328</v>
      </c>
      <c r="C827" s="637"/>
      <c r="D827" s="510"/>
      <c r="E827" s="637"/>
      <c r="F827" s="637"/>
      <c r="G827" s="153"/>
      <c r="H827" s="517" t="s">
        <v>12</v>
      </c>
      <c r="I827" s="307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07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313033000)</f>
        <v>313033000</v>
      </c>
      <c r="K827" s="400">
        <f t="shared" ca="1" si="392"/>
        <v>86.069012922738523</v>
      </c>
      <c r="L827" s="400"/>
      <c r="M827" s="400"/>
      <c r="N827" s="400"/>
      <c r="O827" s="400"/>
      <c r="P827" s="812"/>
      <c r="Q827" s="515"/>
      <c r="R827" s="515"/>
      <c r="S827" s="515"/>
      <c r="T827" s="515"/>
      <c r="U827" s="515"/>
      <c r="V827" s="515"/>
      <c r="W827" s="515"/>
      <c r="X827" s="515"/>
      <c r="Y827" s="515"/>
      <c r="Z827" s="515"/>
    </row>
    <row r="828" spans="1:26" ht="20.25" customHeight="1">
      <c r="A828" s="845"/>
      <c r="B828" s="846"/>
      <c r="C828" s="846"/>
      <c r="D828" s="847"/>
      <c r="E828" s="846"/>
      <c r="F828" s="846"/>
      <c r="G828" s="848"/>
      <c r="H828" s="849" t="s">
        <v>33</v>
      </c>
      <c r="I828" s="850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850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8790)</f>
        <v>8790</v>
      </c>
      <c r="K828" s="851">
        <f t="shared" ca="1" si="392"/>
        <v>66.144931898562717</v>
      </c>
      <c r="L828" s="851"/>
      <c r="M828" s="851"/>
      <c r="N828" s="851"/>
      <c r="O828" s="851"/>
      <c r="P828" s="852"/>
      <c r="Q828" s="515"/>
      <c r="R828" s="515"/>
      <c r="S828" s="515"/>
      <c r="T828" s="515"/>
      <c r="U828" s="515"/>
      <c r="V828" s="515"/>
      <c r="W828" s="515"/>
      <c r="X828" s="515"/>
      <c r="Y828" s="515"/>
      <c r="Z828" s="515"/>
    </row>
    <row r="829" spans="1:26" ht="20.25" customHeight="1">
      <c r="A829" s="638"/>
      <c r="B829" s="638"/>
      <c r="C829" s="638"/>
      <c r="D829" s="639"/>
      <c r="E829" s="638"/>
      <c r="F829" s="638"/>
      <c r="G829" s="638"/>
      <c r="H829" s="640"/>
      <c r="I829" s="641"/>
      <c r="J829" s="641"/>
      <c r="K829" s="642"/>
      <c r="L829" s="642"/>
      <c r="M829" s="642"/>
      <c r="N829" s="642"/>
      <c r="O829" s="642"/>
      <c r="P829" s="642"/>
      <c r="Q829" s="515"/>
      <c r="R829" s="515"/>
      <c r="S829" s="515"/>
      <c r="T829" s="515"/>
      <c r="U829" s="515"/>
      <c r="V829" s="515"/>
      <c r="W829" s="515"/>
      <c r="X829" s="515"/>
      <c r="Y829" s="515"/>
      <c r="Z829" s="515"/>
    </row>
    <row r="830" spans="1:26" ht="20.25" customHeight="1">
      <c r="A830" s="643" t="s">
        <v>329</v>
      </c>
      <c r="B830" s="644"/>
      <c r="C830" s="644"/>
      <c r="D830" s="645"/>
      <c r="E830" s="646"/>
      <c r="F830" s="646"/>
      <c r="G830" s="647"/>
      <c r="H830" s="648"/>
      <c r="I830" s="648"/>
      <c r="J830" s="649"/>
      <c r="K830" s="649"/>
      <c r="L830" s="649"/>
      <c r="M830" s="649"/>
      <c r="N830" s="649"/>
      <c r="O830" s="642"/>
      <c r="P830" s="642"/>
      <c r="Q830" s="515"/>
      <c r="R830" s="515"/>
      <c r="S830" s="515"/>
      <c r="T830" s="515"/>
      <c r="U830" s="515"/>
      <c r="V830" s="515"/>
      <c r="W830" s="515"/>
      <c r="X830" s="515"/>
      <c r="Y830" s="515"/>
      <c r="Z830" s="515"/>
    </row>
    <row r="831" spans="1:26" ht="20.25" customHeight="1">
      <c r="A831" s="650"/>
      <c r="B831" s="651" t="s">
        <v>330</v>
      </c>
      <c r="C831" s="652"/>
      <c r="D831" s="653"/>
      <c r="E831" s="652"/>
      <c r="F831" s="652"/>
      <c r="G831" s="652"/>
      <c r="H831" s="654"/>
      <c r="I831" s="655"/>
      <c r="J831" s="655"/>
      <c r="K831" s="649"/>
      <c r="L831" s="649"/>
      <c r="M831" s="649"/>
      <c r="N831" s="649"/>
      <c r="O831" s="642"/>
      <c r="P831" s="642"/>
      <c r="Q831" s="515"/>
      <c r="R831" s="515"/>
      <c r="S831" s="515"/>
      <c r="T831" s="515"/>
      <c r="U831" s="515"/>
      <c r="V831" s="515"/>
      <c r="W831" s="515"/>
      <c r="X831" s="515"/>
      <c r="Y831" s="515"/>
      <c r="Z831" s="515"/>
    </row>
    <row r="832" spans="1:26" ht="20.25" customHeight="1">
      <c r="A832" s="650"/>
      <c r="B832" s="651" t="s">
        <v>331</v>
      </c>
      <c r="C832" s="652"/>
      <c r="D832" s="653"/>
      <c r="E832" s="652"/>
      <c r="F832" s="652"/>
      <c r="G832" s="652"/>
      <c r="H832" s="654"/>
      <c r="I832" s="656"/>
      <c r="J832" s="655"/>
      <c r="K832" s="649"/>
      <c r="L832" s="649"/>
      <c r="M832" s="649"/>
      <c r="N832" s="649"/>
      <c r="O832" s="642"/>
      <c r="P832" s="642"/>
      <c r="Q832" s="515"/>
      <c r="R832" s="515"/>
      <c r="S832" s="515"/>
      <c r="T832" s="515"/>
      <c r="U832" s="515"/>
      <c r="V832" s="515"/>
      <c r="W832" s="515"/>
      <c r="X832" s="515"/>
      <c r="Y832" s="515"/>
      <c r="Z832" s="515"/>
    </row>
    <row r="833" spans="1:26" ht="20.25" customHeight="1">
      <c r="A833" s="643" t="s">
        <v>332</v>
      </c>
      <c r="B833" s="657"/>
      <c r="C833" s="657"/>
      <c r="D833" s="658"/>
      <c r="E833" s="657"/>
      <c r="F833" s="657"/>
      <c r="G833" s="657"/>
      <c r="H833" s="657"/>
      <c r="I833" s="659"/>
      <c r="J833" s="659"/>
      <c r="K833" s="660"/>
      <c r="L833" s="661"/>
      <c r="M833" s="661"/>
      <c r="N833" s="660"/>
      <c r="O833" s="642"/>
      <c r="P833" s="642"/>
      <c r="Q833" s="515"/>
      <c r="R833" s="515"/>
      <c r="S833" s="515"/>
      <c r="T833" s="515"/>
      <c r="U833" s="515"/>
      <c r="V833" s="515"/>
      <c r="W833" s="515"/>
      <c r="X833" s="515"/>
      <c r="Y833" s="515"/>
      <c r="Z833" s="515"/>
    </row>
    <row r="834" spans="1:26" ht="20.25" customHeight="1">
      <c r="A834" s="662"/>
      <c r="B834" s="663" t="s">
        <v>333</v>
      </c>
      <c r="C834" s="662"/>
      <c r="D834" s="664"/>
      <c r="E834" s="662"/>
      <c r="F834" s="662"/>
      <c r="G834" s="662"/>
      <c r="H834" s="662"/>
      <c r="I834" s="665"/>
      <c r="J834" s="665"/>
      <c r="K834" s="660"/>
      <c r="L834" s="661"/>
      <c r="M834" s="661"/>
      <c r="N834" s="660"/>
      <c r="O834" s="642"/>
      <c r="P834" s="642"/>
      <c r="Q834" s="515"/>
      <c r="R834" s="515"/>
      <c r="S834" s="515"/>
      <c r="T834" s="515"/>
      <c r="U834" s="515"/>
      <c r="V834" s="515"/>
      <c r="W834" s="515"/>
      <c r="X834" s="515"/>
      <c r="Y834" s="515"/>
      <c r="Z834" s="515"/>
    </row>
    <row r="835" spans="1:26" ht="20.25" customHeight="1">
      <c r="A835" s="662"/>
      <c r="B835" s="666" t="s">
        <v>334</v>
      </c>
      <c r="C835" s="662"/>
      <c r="D835" s="664"/>
      <c r="E835" s="662"/>
      <c r="F835" s="662"/>
      <c r="G835" s="662"/>
      <c r="H835" s="662"/>
      <c r="I835" s="665"/>
      <c r="J835" s="665"/>
      <c r="K835" s="660"/>
      <c r="L835" s="661"/>
      <c r="M835" s="661"/>
      <c r="N835" s="660"/>
      <c r="O835" s="642"/>
      <c r="P835" s="642"/>
      <c r="Q835" s="515"/>
      <c r="R835" s="515"/>
      <c r="S835" s="515"/>
      <c r="T835" s="515"/>
      <c r="U835" s="515"/>
      <c r="V835" s="515"/>
      <c r="W835" s="515"/>
      <c r="X835" s="515"/>
      <c r="Y835" s="515"/>
      <c r="Z835" s="515"/>
    </row>
    <row r="836" spans="1:26" ht="20.25" customHeight="1">
      <c r="A836" s="662"/>
      <c r="B836" s="666" t="s">
        <v>335</v>
      </c>
      <c r="C836" s="662"/>
      <c r="D836" s="664"/>
      <c r="E836" s="662"/>
      <c r="F836" s="662"/>
      <c r="G836" s="662"/>
      <c r="H836" s="662"/>
      <c r="I836" s="665"/>
      <c r="J836" s="665"/>
      <c r="K836" s="660"/>
      <c r="L836" s="661"/>
      <c r="M836" s="661"/>
      <c r="N836" s="660"/>
      <c r="O836" s="642"/>
      <c r="P836" s="642"/>
      <c r="Q836" s="515"/>
      <c r="R836" s="515"/>
      <c r="S836" s="515"/>
      <c r="T836" s="515"/>
      <c r="U836" s="515"/>
      <c r="V836" s="515"/>
      <c r="W836" s="515"/>
      <c r="X836" s="515"/>
      <c r="Y836" s="515"/>
      <c r="Z836" s="515"/>
    </row>
    <row r="837" spans="1:26" ht="20.25" customHeight="1">
      <c r="A837" s="662"/>
      <c r="B837" s="663" t="s">
        <v>336</v>
      </c>
      <c r="C837" s="662"/>
      <c r="D837" s="664"/>
      <c r="E837" s="662"/>
      <c r="F837" s="662"/>
      <c r="G837" s="662"/>
      <c r="H837" s="662"/>
      <c r="I837" s="665"/>
      <c r="J837" s="665"/>
      <c r="K837" s="660"/>
      <c r="L837" s="661"/>
      <c r="M837" s="661"/>
      <c r="N837" s="660"/>
      <c r="O837" s="642"/>
      <c r="P837" s="642"/>
      <c r="Q837" s="515"/>
      <c r="R837" s="515"/>
      <c r="S837" s="515"/>
      <c r="T837" s="515"/>
      <c r="U837" s="515"/>
      <c r="V837" s="515"/>
      <c r="W837" s="515"/>
      <c r="X837" s="515"/>
      <c r="Y837" s="515"/>
      <c r="Z837" s="515"/>
    </row>
    <row r="838" spans="1:26" ht="20.25" customHeight="1">
      <c r="A838" s="662"/>
      <c r="B838" s="663" t="s">
        <v>337</v>
      </c>
      <c r="C838" s="662"/>
      <c r="D838" s="664"/>
      <c r="E838" s="662"/>
      <c r="F838" s="662"/>
      <c r="G838" s="662"/>
      <c r="H838" s="662"/>
      <c r="I838" s="665"/>
      <c r="J838" s="665"/>
      <c r="K838" s="660"/>
      <c r="L838" s="661"/>
      <c r="M838" s="661"/>
      <c r="N838" s="660"/>
      <c r="O838" s="642"/>
      <c r="P838" s="642"/>
      <c r="Q838" s="515"/>
      <c r="R838" s="515"/>
      <c r="S838" s="515"/>
      <c r="T838" s="515"/>
      <c r="U838" s="515"/>
      <c r="V838" s="515"/>
      <c r="W838" s="515"/>
      <c r="X838" s="515"/>
      <c r="Y838" s="515"/>
      <c r="Z838" s="515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pageOrder="overThenDown" orientation="portrait" cellComments="atEnd" r:id="rId1"/>
  <headerFooter>
    <oddFooter>&amp;R&amp;"+,Regular"&amp;14หน้า &amp;P จาก &amp;N</oddFooter>
  </headerFooter>
  <rowBreaks count="10" manualBreakCount="10">
    <brk id="84" max="16383" man="1"/>
    <brk id="161" max="16383" man="1"/>
    <brk id="258" max="16383" man="1"/>
    <brk id="343" max="16383" man="1"/>
    <brk id="413" max="16383" man="1"/>
    <brk id="499" max="16383" man="1"/>
    <brk id="581" max="16383" man="1"/>
    <brk id="652" max="16383" man="1"/>
    <brk id="735" max="16383" man="1"/>
    <brk id="8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2023-07-24T02:56:59Z</cp:lastPrinted>
  <dcterms:modified xsi:type="dcterms:W3CDTF">2023-07-24T02:57:09Z</dcterms:modified>
</cp:coreProperties>
</file>